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User\Desktop\Проекты\1 - ПРОЕКТИРОВАНИЕ\Борисова Виктория\"/>
    </mc:Choice>
  </mc:AlternateContent>
  <bookViews>
    <workbookView xWindow="0" yWindow="0" windowWidth="25605" windowHeight="15525" tabRatio="951" firstSheet="1" activeTab="2"/>
  </bookViews>
  <sheets>
    <sheet name="Общий бюджет - Общий бюджет" sheetId="1" r:id="rId1"/>
    <sheet name="1.Прихожая" sheetId="7" r:id="rId2"/>
    <sheet name="2.Гостиная" sheetId="41" r:id="rId3"/>
    <sheet name="3.Хоз.блок" sheetId="2" r:id="rId4"/>
    <sheet name="4.Кухня" sheetId="4" r:id="rId5"/>
    <sheet name="5.Балкон1" sheetId="6" r:id="rId6"/>
    <sheet name="6.Кабинет" sheetId="11" r:id="rId7"/>
    <sheet name="7.Ванная комната" sheetId="19" r:id="rId8"/>
    <sheet name="8.Гардероб" sheetId="21" r:id="rId9"/>
    <sheet name="9.Спальня" sheetId="22" r:id="rId10"/>
    <sheet name="10.Детская" sheetId="23" r:id="rId11"/>
    <sheet name="11.Балкон2" sheetId="24" r:id="rId12"/>
    <sheet name="12.Детский су" sheetId="25" r:id="rId13"/>
    <sheet name="13.Коридор" sheetId="26" r:id="rId14"/>
  </sheets>
  <definedNames>
    <definedName name="_xlnm.Print_Area" localSheetId="1">'1.Прихожая'!$A$1:$D$15</definedName>
    <definedName name="_xlnm.Print_Area" localSheetId="10">'10.Детская'!$A$1:$D$16</definedName>
    <definedName name="_xlnm.Print_Area" localSheetId="11">'11.Балкон2'!$A$1:$D$9</definedName>
    <definedName name="_xlnm.Print_Area" localSheetId="12">'12.Детский су'!$A$1:$D$20</definedName>
    <definedName name="_xlnm.Print_Area" localSheetId="13">'13.Коридор'!$A$1:$D$7</definedName>
    <definedName name="_xlnm.Print_Area" localSheetId="2">'2.Гостиная'!$A$1:$D$22</definedName>
    <definedName name="_xlnm.Print_Area" localSheetId="3">'3.Хоз.блок'!$A$1:$D$10</definedName>
    <definedName name="_xlnm.Print_Area" localSheetId="4">'4.Кухня'!$A$1:$D$21</definedName>
    <definedName name="_xlnm.Print_Area" localSheetId="5">'5.Балкон1'!$A$1:$D$9</definedName>
    <definedName name="_xlnm.Print_Area" localSheetId="6">'6.Кабинет'!$A$1:$D$19</definedName>
    <definedName name="_xlnm.Print_Area" localSheetId="7">'7.Ванная комната'!$A$1:$D$21</definedName>
    <definedName name="_xlnm.Print_Area" localSheetId="8">'8.Гардероб'!$A$1:$D$6</definedName>
    <definedName name="_xlnm.Print_Area" localSheetId="9">'9.Спальня'!$A$1:$D$19</definedName>
    <definedName name="_xlnm.Print_Area" localSheetId="0">'Общий бюджет - Общий бюджет'!$A$1:$C$20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9" l="1"/>
  <c r="E6" i="19"/>
  <c r="D22" i="41"/>
  <c r="D3" i="19" l="1"/>
  <c r="D4" i="19"/>
  <c r="D19" i="25"/>
  <c r="D16" i="41"/>
  <c r="D7" i="4"/>
  <c r="D10" i="41"/>
  <c r="D6" i="23"/>
  <c r="D7" i="25"/>
  <c r="D7" i="19"/>
  <c r="D8" i="19"/>
  <c r="D7" i="24"/>
  <c r="C16" i="1"/>
  <c r="D3" i="41"/>
  <c r="D13" i="41" l="1"/>
  <c r="D3" i="11"/>
  <c r="D6" i="19" l="1"/>
  <c r="D16" i="19"/>
  <c r="D5" i="25"/>
  <c r="D3" i="24"/>
  <c r="D4" i="25"/>
  <c r="D3" i="25"/>
  <c r="D15" i="25"/>
  <c r="D9" i="24"/>
  <c r="C13" i="1" s="1"/>
  <c r="D15" i="23"/>
  <c r="D12" i="23"/>
  <c r="D10" i="23"/>
  <c r="D16" i="23" s="1"/>
  <c r="C12" i="1" s="1"/>
  <c r="D11" i="23"/>
  <c r="D17" i="41"/>
  <c r="D7" i="7"/>
  <c r="D14" i="22"/>
  <c r="D15" i="22"/>
  <c r="D4" i="22"/>
  <c r="D16" i="22"/>
  <c r="D17" i="22"/>
  <c r="D10" i="22"/>
  <c r="D3" i="6"/>
  <c r="D6" i="21"/>
  <c r="C10" i="1" s="1"/>
  <c r="D11" i="22"/>
  <c r="D19" i="22" s="1"/>
  <c r="C11" i="1" s="1"/>
  <c r="D16" i="4"/>
  <c r="D3" i="2"/>
  <c r="D3" i="7"/>
  <c r="D9" i="6"/>
  <c r="C7" i="1" s="1"/>
  <c r="D20" i="4"/>
  <c r="D8" i="4"/>
  <c r="D21" i="4" s="1"/>
  <c r="C6" i="1" s="1"/>
  <c r="D8" i="2"/>
  <c r="D10" i="2" s="1"/>
  <c r="C5" i="1" s="1"/>
  <c r="D19" i="41"/>
  <c r="C4" i="1" s="1"/>
  <c r="D11" i="41"/>
  <c r="D4" i="41"/>
  <c r="D8" i="7"/>
  <c r="D15" i="11"/>
  <c r="D19" i="11" s="1"/>
  <c r="C8" i="1" s="1"/>
  <c r="D10" i="11"/>
  <c r="D4" i="26"/>
  <c r="D3" i="26"/>
  <c r="D7" i="26" s="1"/>
  <c r="C15" i="1" s="1"/>
  <c r="D15" i="7" l="1"/>
  <c r="C3" i="1" s="1"/>
  <c r="D21" i="19"/>
  <c r="C9" i="1" s="1"/>
  <c r="D20" i="25"/>
  <c r="C14" i="1" s="1"/>
  <c r="C20" i="1" l="1"/>
</calcChain>
</file>

<file path=xl/sharedStrings.xml><?xml version="1.0" encoding="utf-8"?>
<sst xmlns="http://schemas.openxmlformats.org/spreadsheetml/2006/main" count="586" uniqueCount="401">
  <si>
    <t>Общий бюджет</t>
  </si>
  <si>
    <t>Категория</t>
  </si>
  <si>
    <t>Количество</t>
  </si>
  <si>
    <t>Итого</t>
  </si>
  <si>
    <t>Спальня</t>
  </si>
  <si>
    <t>Бренд</t>
  </si>
  <si>
    <t>покраска стен</t>
  </si>
  <si>
    <t>Ванная комната</t>
  </si>
  <si>
    <t>Покраска стен</t>
  </si>
  <si>
    <t>Little Green</t>
  </si>
  <si>
    <t>Консоль</t>
  </si>
  <si>
    <t>гигиенический душ</t>
  </si>
  <si>
    <t>Кабинет</t>
  </si>
  <si>
    <t>Гардеробная</t>
  </si>
  <si>
    <t>Комод</t>
  </si>
  <si>
    <t>Диван</t>
  </si>
  <si>
    <t>Стол</t>
  </si>
  <si>
    <t>Буфет</t>
  </si>
  <si>
    <t>Ковер</t>
  </si>
  <si>
    <t>Стулья</t>
  </si>
  <si>
    <t>Прихожая</t>
  </si>
  <si>
    <t>Гостиная</t>
  </si>
  <si>
    <t>Хоз.блок</t>
  </si>
  <si>
    <t>Кухня</t>
  </si>
  <si>
    <t>Балкон1</t>
  </si>
  <si>
    <t>Детская</t>
  </si>
  <si>
    <t>Балкон2</t>
  </si>
  <si>
    <t>Детский су</t>
  </si>
  <si>
    <t>Коридор</t>
  </si>
  <si>
    <t>Плитка на пол</t>
  </si>
  <si>
    <t xml:space="preserve">6,5 кв.м. </t>
  </si>
  <si>
    <t>https://tile.expert/ru/tile/Bisazza/Dal-Bianco/i/Dal%20Bianco-Bisazza-12</t>
  </si>
  <si>
    <t>P=11м, H=2.85м</t>
  </si>
  <si>
    <t>Панели гипсовые на стены с порезкой и металл.вставками</t>
  </si>
  <si>
    <t>4штуки,Н=2.85м</t>
  </si>
  <si>
    <t>металлические вставки из латуни на стены плоские</t>
  </si>
  <si>
    <t>8кв.м</t>
  </si>
  <si>
    <t>Двери межкомнатные+накладка на входную</t>
  </si>
  <si>
    <t>Высота дверей 2850мм,до потолка,Юнион  двери гладкие,на 1 двери шпон с 1 стороны,высота накладки на входную дверь -2100 полотно+750добор-панель</t>
  </si>
  <si>
    <t>Плинтус встроенный в стену.Цвет-светлая матовая латунь</t>
  </si>
  <si>
    <t xml:space="preserve"> https://lazio.by/katalog/skrytye-dveri-i-stenovye-paneli/skrytyj-plintus/
http://linvisibile.ru/design_doors/skirting-system-ru/
</t>
  </si>
  <si>
    <t>посчитайте в нескольких местах,Вот 2 варианта</t>
  </si>
  <si>
    <t>Подоконники МДФ</t>
  </si>
  <si>
    <t xml:space="preserve">Светильники встроенные </t>
  </si>
  <si>
    <t>6шт.</t>
  </si>
  <si>
    <t xml:space="preserve">Бра </t>
  </si>
  <si>
    <t>2шт.</t>
  </si>
  <si>
    <t xml:space="preserve">Раздвижные двери на заказ </t>
  </si>
  <si>
    <t xml:space="preserve">Шкаф на заказ(как на коллаже) </t>
  </si>
  <si>
    <t>На заказ,МДФ под эмалью матовый с распашными дверками</t>
  </si>
  <si>
    <t>Пуф</t>
  </si>
  <si>
    <t>Зеркала встроенные в стену</t>
  </si>
  <si>
    <t>на заказ,</t>
  </si>
  <si>
    <t>2 шт</t>
  </si>
  <si>
    <t>Зеркало на стену</t>
  </si>
  <si>
    <t>1 шт</t>
  </si>
  <si>
    <t>https://www.isolux.ru/dizaynerskaya-3d-panel-iz-gipsa-artpole-paraline-600h600-mm.html</t>
  </si>
  <si>
    <t>на заказ</t>
  </si>
  <si>
    <t>Черный металл тонкий  со стеклом или по витражной технике(стекло внутри)</t>
  </si>
  <si>
    <t>http://www.arteriorshome.com/haynes-left-sconce-49080</t>
  </si>
  <si>
    <t>https://berkleyhome.ru/product/hooker-furniture-living-room-melange-rowan-chest</t>
  </si>
  <si>
    <t>https://berkleyhome.ru/product/gordon-mirror</t>
  </si>
  <si>
    <t>https://www.bernhardt.com/product/kingston/ottomans/ottoman-0</t>
  </si>
  <si>
    <t xml:space="preserve">Паркет,инженерная доска </t>
  </si>
  <si>
    <t>Люстра1</t>
  </si>
  <si>
    <t>Люстра2</t>
  </si>
  <si>
    <t>2шт</t>
  </si>
  <si>
    <t xml:space="preserve">Панели гипсовые </t>
  </si>
  <si>
    <t>Латунные вставки на стену</t>
  </si>
  <si>
    <t>Панно из шпона с латунными вставками</t>
  </si>
  <si>
    <t>Биокамин</t>
  </si>
  <si>
    <t>Кресла</t>
  </si>
  <si>
    <t>Столик журнальный</t>
  </si>
  <si>
    <t>ТВ</t>
  </si>
  <si>
    <t>1шт</t>
  </si>
  <si>
    <t>8шт</t>
  </si>
  <si>
    <t>http://www.buzzi-buzzi.it/en/product/basic-round</t>
  </si>
  <si>
    <t>http://www.buzzi-buzzi.it/en/product/rim</t>
  </si>
  <si>
    <t xml:space="preserve">BASIC ROUND 140 mm </t>
  </si>
  <si>
    <t>https://loft-concept.ru/catalog/neskolko_lamp/lyustra_areti_row_pendant/</t>
  </si>
  <si>
    <t>http://www.arteriorshome.com/murphy-chandelier</t>
  </si>
  <si>
    <t>на заказ(как на коллаже)</t>
  </si>
  <si>
    <t>23кв.м</t>
  </si>
  <si>
    <t>как на коллаже</t>
  </si>
  <si>
    <t>10штук Н=2.85м</t>
  </si>
  <si>
    <t>https://www.archiproducts.com/ru/%D0%BF%D1%80%D0%BE%D0%B4%D1%83%D0%BA%D1%82%D1%8B/opinion-ciatti/%D0%B2%D0%B8%D1%82%D1%80%D0%B8%D0%BD%D0%B0-yang_338002</t>
  </si>
  <si>
    <t>https://www.philippe-hurel.com/bertold</t>
  </si>
  <si>
    <t>https://www.archiproducts.com/en/products/anesis/extending-oval-dining-table-gallo-extending-table_345080</t>
  </si>
  <si>
    <t>https://www.archiproducts.com/en/products/misuraemme/oak-coffee-table-with-integrated-magazine-rack-argo-coffee-table_226971</t>
  </si>
  <si>
    <t>Лампы настольные</t>
  </si>
  <si>
    <t>https://www.decorazzio.com/product/svetilnik-nastolnyy-gubi-gravity_talbe_lamp_1#prettyPhoto</t>
  </si>
  <si>
    <t>https://www.union.ru/product/alfa-wood-p-tk-rovere-sbiancato-1862</t>
  </si>
  <si>
    <t>https://www.archiproducts.com/ru/%D0%BF%D1%80%D0%BE%D0%B4%D1%83%D0%BA%D1%82%D1%8B/montis/%D1%81%D1%82%D1%83%D0%BB-back-me-up-%D1%81%D1%82%D1%83%D0%BB_347903</t>
  </si>
  <si>
    <t>https://www.archiproducts.com/ru/%D0%BF%D1%80%D0%BE%D0%B4%D1%83%D0%BA%D1%82%D1%8B/meridiani/%D0%B4%D0%B8%D0%B2%D0%B0%D0%BD-hector_299316</t>
  </si>
  <si>
    <t>Meridiani
HECTOR</t>
  </si>
  <si>
    <t>http://www.liniedesign.com/product/0x6666858730b7e7f49ebdf3b3d4f62b97/</t>
  </si>
  <si>
    <t>1шт 2000*3000мм</t>
  </si>
  <si>
    <t>https://berkleyhome.ru/product/cloister-sideboard</t>
  </si>
  <si>
    <t>Керамическая плитка на пол</t>
  </si>
  <si>
    <t>Краска на стены</t>
  </si>
  <si>
    <t>P=30м, H=2.85м</t>
  </si>
  <si>
    <t>P=10м, H=2.85м</t>
  </si>
  <si>
    <t>6.6 м.кв</t>
  </si>
  <si>
    <t>стиральная машина Милле</t>
  </si>
  <si>
    <t>Сушильная машина Милле</t>
  </si>
  <si>
    <t>стеллаж с открытыми полками,МДФ</t>
  </si>
  <si>
    <t>3.9м.,угловой,высота 2,5м.</t>
  </si>
  <si>
    <t>Светильники накладные</t>
  </si>
  <si>
    <t>3шт.</t>
  </si>
  <si>
    <t>https://www.deltalight.com/ru/products/detail/midispy-jac-92740-mdl-jac-241-923-mdl</t>
  </si>
  <si>
    <t xml:space="preserve">кухня </t>
  </si>
  <si>
    <t>столешница на кухню кварц</t>
  </si>
  <si>
    <t>3744на 650мм.,выпилы под газовую панель и мойку</t>
  </si>
  <si>
    <t>кварцит белый Калакатта Эно 9000</t>
  </si>
  <si>
    <t>столешница на барную стойку</t>
  </si>
  <si>
    <t>массив дерева</t>
  </si>
  <si>
    <t>1000 на 2130мм.</t>
  </si>
  <si>
    <t xml:space="preserve">3545мм нижние шкафы и верхние шкафы.барная стойка 2130 на 1000 колонна мебельная 2000 на 2850высота </t>
  </si>
  <si>
    <t>как на коллаже,верхние фасады-шпон с ярко-выделенной текстурой дерева.Нижние-эмаль светлая.Колонна-и Барная стойка-МДФ эмаль,темно-синий цвет с филенками</t>
  </si>
  <si>
    <t>телевизор</t>
  </si>
  <si>
    <t>самсунг</t>
  </si>
  <si>
    <t>4шт</t>
  </si>
  <si>
    <t>стулья</t>
  </si>
  <si>
    <t>раздвижные двери</t>
  </si>
  <si>
    <t>на заказ,стекло с металлом</t>
  </si>
  <si>
    <t xml:space="preserve">1756на2300(высота) </t>
  </si>
  <si>
    <t>мойка</t>
  </si>
  <si>
    <t>винный шкаф</t>
  </si>
  <si>
    <t>Liebher</t>
  </si>
  <si>
    <t>Neff</t>
  </si>
  <si>
    <t>духовой шкаф электрический встроенный</t>
  </si>
  <si>
    <t>посудомойка 60см</t>
  </si>
  <si>
    <t>смеситель на мойку однорычажный</t>
  </si>
  <si>
    <t>диспенсер</t>
  </si>
  <si>
    <t>кофемашина отдельностоящая</t>
  </si>
  <si>
    <t>СВЧ встроенная</t>
  </si>
  <si>
    <t>варочная панель электрическая</t>
  </si>
  <si>
    <t>Холодильник Side by Side 1210мм с ледогенератором</t>
  </si>
  <si>
    <t>https://www.technopark.ru/vinnyy-shkaf-liebherr-uwtgb-1682/</t>
  </si>
  <si>
    <t>Blanko</t>
  </si>
  <si>
    <t>https://www.union.ru/product/sinthesy-quadra-1221</t>
  </si>
  <si>
    <t>dooq Alma bar chair</t>
  </si>
  <si>
    <t>подвесы над баром</t>
  </si>
  <si>
    <t>https://www.dooqdetails.com/detail-produtos/alma/</t>
  </si>
  <si>
    <t>4шт в кирпичном цвете</t>
  </si>
  <si>
    <t>https://vcgallery.ru/ceiling/KW5509AB-AW-FA</t>
  </si>
  <si>
    <t>Балкон</t>
  </si>
  <si>
    <t>5.5кв.м</t>
  </si>
  <si>
    <t>P=4.5м,высота 2.8м.</t>
  </si>
  <si>
    <t>Керамогранит</t>
  </si>
  <si>
    <t>https://www.artreal.ru/keramogranit/italy/mirage/reve/</t>
  </si>
  <si>
    <t>GEO Sand 17.5*20
Декор, 17.5 × 20</t>
  </si>
  <si>
    <t>шкаф отдельностоящий</t>
  </si>
  <si>
    <t>1420мм на 2200высота</t>
  </si>
  <si>
    <t>столик</t>
  </si>
  <si>
    <t>подвесной светильк</t>
  </si>
  <si>
    <t>лежак</t>
  </si>
  <si>
    <t xml:space="preserve">шкаф платяной встроенный </t>
  </si>
  <si>
    <t>как на коллаже,на фасадах-ротанговые вставки</t>
  </si>
  <si>
    <t>декоративные деревянные панели по стене и по стеллажу снизу</t>
  </si>
  <si>
    <t xml:space="preserve">обои </t>
  </si>
  <si>
    <t>Shumacher</t>
  </si>
  <si>
    <t>люстра</t>
  </si>
  <si>
    <t>лампа настольная</t>
  </si>
  <si>
    <t>кресло рабочее</t>
  </si>
  <si>
    <t>стол рабочий</t>
  </si>
  <si>
    <t>бра</t>
  </si>
  <si>
    <t>комод</t>
  </si>
  <si>
    <t>столик журнальный</t>
  </si>
  <si>
    <t>бра у аквариума</t>
  </si>
  <si>
    <t>плитка на пол</t>
  </si>
  <si>
    <t>плитка на стены тип1</t>
  </si>
  <si>
    <t>плитка на стены и на пол тип2</t>
  </si>
  <si>
    <t>плитка в нишу</t>
  </si>
  <si>
    <t>обои на стену</t>
  </si>
  <si>
    <t>раковина на столешницу</t>
  </si>
  <si>
    <t>унитаз подвесной</t>
  </si>
  <si>
    <t>полотенцесушитель</t>
  </si>
  <si>
    <t>смеситель для ванной</t>
  </si>
  <si>
    <t>смеситель на столешницу для раковины</t>
  </si>
  <si>
    <t>встроенные светильники влагозащищенные</t>
  </si>
  <si>
    <t>подвесной светильник</t>
  </si>
  <si>
    <t>6шт</t>
  </si>
  <si>
    <t>RIM Ø 140 mm</t>
  </si>
  <si>
    <t>ванна отдельностоящая 1900на 800</t>
  </si>
  <si>
    <t>столешница на скамью в душевую из кореана</t>
  </si>
  <si>
    <t>Гардероб</t>
  </si>
  <si>
    <t>встроенная мебель,гардеробная</t>
  </si>
  <si>
    <t>раздвижная дверь в пенал</t>
  </si>
  <si>
    <t>Юнион</t>
  </si>
  <si>
    <t>гладкое полотно мдв,высота двери 2800,если нель такую высокую,то максимальная высота+панель сверху</t>
  </si>
  <si>
    <t xml:space="preserve">покраска стен </t>
  </si>
  <si>
    <t>ЛиттлГрин</t>
  </si>
  <si>
    <t>Р=10м,Н=2.8м</t>
  </si>
  <si>
    <t>кресло</t>
  </si>
  <si>
    <t>Стеллаж встроенный</t>
  </si>
  <si>
    <t>банкетка</t>
  </si>
  <si>
    <t>стол с зеркальным пеналом</t>
  </si>
  <si>
    <t>пуф</t>
  </si>
  <si>
    <t>гипсовые панели</t>
  </si>
  <si>
    <t>Кровать 2000на 2200</t>
  </si>
  <si>
    <t>https://www.dooqdetails.com/detail-produtos/la-folie/</t>
  </si>
  <si>
    <t>торшер</t>
  </si>
  <si>
    <t>enjoy</t>
  </si>
  <si>
    <t>cтолик журнальный</t>
  </si>
  <si>
    <t>тумбы прикроватные</t>
  </si>
  <si>
    <t>https://www.archiproducts.com/ru/%D0%BF%D1%80%D0%BE%D0%B4%D1%83%D0%BA%D1%82%D1%8B/febal-casa/%D0%BF%D1%80%D0%B8%D0%BA%D1%80%D0%BE%D0%B2%D0%B0%D1%82%D0%BD%D0%B0%D1%8F-%D1%82%D1%83%D0%BC%D0%B1%D0%BE%D1%87%D0%BA%D0%B0-vega-%D0%BF%D1%80%D0%B8%D0%BA%D1%80%D0%BE%D0%B2%D0%B0%D1%82%D0%BD%D0%B0%D1%8F-%D1%82%D1%83%D0%BC%D0%B1%D0%BE%D1%87%D0%BA%D0%B0_319087</t>
  </si>
  <si>
    <t>подвесы у кровати</t>
  </si>
  <si>
    <t>http://www.meridiani.it/en-us/products/editions/tuyo</t>
  </si>
  <si>
    <t>Meridiani TUYO</t>
  </si>
  <si>
    <t>обои</t>
  </si>
  <si>
    <t>https://www.2modern.com/products/jaime-end-table</t>
  </si>
  <si>
    <t>https://www.oboilux.ru/wallpapers/WallAndDeco/Life15/WDPL1501</t>
  </si>
  <si>
    <t>4.5на высоту 2.8м</t>
  </si>
  <si>
    <t>https://www.poltronafrau.com/en/catalogue/furniture/fidelio-notte</t>
  </si>
  <si>
    <t>8шт.</t>
  </si>
  <si>
    <t>https://www.archiproducts.com/ru/%D0%BF%D1%80%D0%BE%D0%B4%D1%83%D0%BA%D1%82%D1%8B/inkiostro-bianco/%D0%BE%D1%82%D0%B4%D0%B5%D0%BB%D0%BE%D1%87%D0%BD%D0%BE%D0%B5-%D0%BF%D0%BE%D0%BA%D1%80%D1%8B%D1%82%D0%B8%D0%B5-canneto_339557</t>
  </si>
  <si>
    <t>http://www.leebroom.com/lighting/fulcrum-light/#image-1</t>
  </si>
  <si>
    <t>FULCRUM LIGHT POLISHED CHROME</t>
  </si>
  <si>
    <t>http://www.abitant.com/products/torsher-dream-faneurope-linea-luce-design-i-dream-pt-nero</t>
  </si>
  <si>
    <t>любой</t>
  </si>
  <si>
    <t>кровать подвесная с усилением в стене</t>
  </si>
  <si>
    <t>стол</t>
  </si>
  <si>
    <t>шкаф</t>
  </si>
  <si>
    <t>шведская стенка,игровая зона</t>
  </si>
  <si>
    <t>обои на шкаф,на фасады</t>
  </si>
  <si>
    <t>стеллаж с металлическим каркасом</t>
  </si>
  <si>
    <t>ночники</t>
  </si>
  <si>
    <t>встроенные светильники</t>
  </si>
  <si>
    <t>лампы настольные</t>
  </si>
  <si>
    <t>панели деревянные на стены</t>
  </si>
  <si>
    <t>как на коллаже с жалюзийными дверками</t>
  </si>
  <si>
    <t>пуфы</t>
  </si>
  <si>
    <t xml:space="preserve">1840на2300(высота) </t>
  </si>
  <si>
    <t>скамья с местами для хранения,матрасиками</t>
  </si>
  <si>
    <t xml:space="preserve">подвесные светильники </t>
  </si>
  <si>
    <t>5.8кв.м</t>
  </si>
  <si>
    <t>1рулон</t>
  </si>
  <si>
    <t>17.5м,высота 2850</t>
  </si>
  <si>
    <t>8м на высоту 2.8</t>
  </si>
  <si>
    <t>тумба</t>
  </si>
  <si>
    <t>раковины</t>
  </si>
  <si>
    <t>ванная</t>
  </si>
  <si>
    <t>унитаз</t>
  </si>
  <si>
    <t>полтенцесушитель</t>
  </si>
  <si>
    <t>смеситель на раковину</t>
  </si>
  <si>
    <t>смеситель на ванну</t>
  </si>
  <si>
    <t>душевая стойка</t>
  </si>
  <si>
    <t>душевое ограждение</t>
  </si>
  <si>
    <t>на заказ из стекла с гидроизоляцией</t>
  </si>
  <si>
    <t>инсталляция для подвесного унитаза</t>
  </si>
  <si>
    <t>700мм на 2000мм(высота)200-глубина</t>
  </si>
  <si>
    <t>http://www.buzzi-buzzi.it/en/product/eggy</t>
  </si>
  <si>
    <t>http://www.buzzi-buzzi.it/en/product/leaf</t>
  </si>
  <si>
    <t>10.5на 8.5</t>
  </si>
  <si>
    <t>https://www.archiproducts.com/ru/%D0%BF%D1%80%D0%BE%D0%B4%D1%83%D0%BA%D1%82%D1%8B/smarin/%D0%BF%D1%83%D1%84-livingstones_91486</t>
  </si>
  <si>
    <t>https://cloud.dom-decor.com/index.php/s/xXyrYEKf54obqAa#pdfviewer</t>
  </si>
  <si>
    <t>1детский су</t>
  </si>
  <si>
    <t>https://www.inbani.com/ru/%D0%BF%D1%80%D0%BE%D0%B4%D1%83%D0%BA%D1%82%D1%8B/fluent-4/</t>
  </si>
  <si>
    <t>1шт  500на 1960мм</t>
  </si>
  <si>
    <t>900 на 900</t>
  </si>
  <si>
    <t>душевой уголок стеклянный</t>
  </si>
  <si>
    <t>1800 на700мм</t>
  </si>
  <si>
    <t>встроенные в стену светильники</t>
  </si>
  <si>
    <t>CenterCvet</t>
  </si>
  <si>
    <t>https://www.inbani.com/ru/%D0%BA%D0%BE%D0%BB%D0%BB%D0%B5%D0%BA%D1%86%D0%B8%D0%B8/strato/</t>
  </si>
  <si>
    <t>inbani</t>
  </si>
  <si>
    <t>loop</t>
  </si>
  <si>
    <t>geberit</t>
  </si>
  <si>
    <t>villeroy</t>
  </si>
  <si>
    <t>https://www.antoniolupi.it/it/</t>
  </si>
  <si>
    <t>lupi</t>
  </si>
  <si>
    <t>Villeroy</t>
  </si>
  <si>
    <t>Devon</t>
  </si>
  <si>
    <t>Geberit</t>
  </si>
  <si>
    <t>https://tile.expert/en/tile/Mutina/Mews/i/Mews-Mutina-1</t>
  </si>
  <si>
    <t>ПЛИТКА NID CASHMERE TATAMI MATT http://atlastile.ru/product/atlas-concorde-nid-cashmere-tatami-22-5-90-matt/</t>
  </si>
  <si>
    <t>https://www.artreal.ru/keramogranit/italy/cerdomus/epic/</t>
  </si>
  <si>
    <t>http://www.gessi.com/ru/%D0%9A%D0%B0%D1%82%D0%B0%D0%BB%D0%BE%D0%B3/%D0%B2%D0%B0%D0%BD%D0%BD%D0%B0%D1%8F-%D0%BA%D0%BE%D0%BC%D0%BD%D0%B0%D1%82%D0%B0/goccia/goccia-%D0%B2%D0%B0%D0%BD%D0%BD%D1%8B/%D0%B2%D0%B0%D0%BD%D0%BD%D1%8B</t>
  </si>
  <si>
    <t>подвесной рейлинг для полотенец c потолка</t>
  </si>
  <si>
    <t>gessi</t>
  </si>
  <si>
    <t>https://www.archiproducts.com/ru/%D0%BF%D1%80%D0%BE%D0%B4%D1%83%D0%BA%D1%82%D1%8B/gallotti-radice/%D0%BF%D0%BE%D0%B4%D0%B2%D0%B5%D1%81%D0%BD%D0%BE%D0%B8-%D1%81%D0%B2%D0%B5%D1%82%D0%B8%D0%BB%D1%8C%D0%BD%D0%B8%D0%BA-epsilon-sola_308114</t>
  </si>
  <si>
    <t>двери подобная модель только в эмали светлой.6-распашных дверей,1 накладка на входную дверь и 1 дверь развижная в пенал</t>
  </si>
  <si>
    <t>17м на 2.8высота</t>
  </si>
  <si>
    <t>диван</t>
  </si>
  <si>
    <t>https://www.archiproducts.com/en/products/calligaris/velvet-sofa-with-removable-cover-leaf_323939</t>
  </si>
  <si>
    <t>https://www.hookerfurniture.com/melange-frye-chest/638-85388-ltbk-5/iteminformation.aspx</t>
  </si>
  <si>
    <t>https://www.poltronafrau.com/en/catalogue/armchairs-and-pouf/mamy-blue</t>
  </si>
  <si>
    <t>https://www.barcelonadesign.ru/product/561-lyustra-duke/</t>
  </si>
  <si>
    <t>http://loft-concept.ru/catalog/light/bra_delightfull_cairo/</t>
  </si>
  <si>
    <t>http://www.milansofa.ru/item/7207#prettyPhoto</t>
  </si>
  <si>
    <t>1 рулон</t>
  </si>
  <si>
    <t>снизу по стеллажам</t>
  </si>
  <si>
    <t>любые</t>
  </si>
  <si>
    <t>цена</t>
  </si>
  <si>
    <t>1 шт. - 4070 на450,высота 450,с выдвижными ящиками и открытыми полками.МДФ</t>
  </si>
  <si>
    <t>215 м.п. - Плинтус должен быть заподлицо со стеной или утоплен внутрь, металлический</t>
  </si>
  <si>
    <t>плитка на стены 1 тип</t>
  </si>
  <si>
    <t>http://www.inkiostrobianco.com/collezioni/lineadeko/</t>
  </si>
  <si>
    <t xml:space="preserve">Итого: </t>
  </si>
  <si>
    <t>1 шт. - 2120на 1020мм</t>
  </si>
  <si>
    <t>2 шт - 1575на 2800высота</t>
  </si>
  <si>
    <t xml:space="preserve">1 шт. </t>
  </si>
  <si>
    <t>стеллаж,снизу-распашные дверки за панелями</t>
  </si>
  <si>
    <t>1 шт. -1982 на 2800высота</t>
  </si>
  <si>
    <t>стеллаж со стеклянными фасадами</t>
  </si>
  <si>
    <t>1 шт. - 2130 на 2800 высота</t>
  </si>
  <si>
    <t>Итого:</t>
  </si>
  <si>
    <t>встроенный сейф (один для оружия высокий, второй для бумаг маленький)</t>
  </si>
  <si>
    <t xml:space="preserve">Empire Attica_Q
Формат: 20 × 20 смDal Bianco
Фабрика: Bisazza </t>
  </si>
  <si>
    <t>1шт. - 1980мм,Н=2850мм</t>
  </si>
  <si>
    <t>2 шт - 650мм высотой 2850мм</t>
  </si>
  <si>
    <t>1шт. - 2.6мм,Н=2.85м.,как на коллаже</t>
  </si>
  <si>
    <t xml:space="preserve">2шт - 1500шир.*300*2800мм.высота   388*300*2800мм. </t>
  </si>
  <si>
    <t>1 шт. - примерно 1280 на 600 мм</t>
  </si>
  <si>
    <t>1 шт. - 271*116cм</t>
  </si>
  <si>
    <t>плитка напольная</t>
  </si>
  <si>
    <t>бизацци</t>
  </si>
  <si>
    <t>уточнаяла стоимость</t>
  </si>
  <si>
    <t>15 м2</t>
  </si>
  <si>
    <t>9,8 м2</t>
  </si>
  <si>
    <t>5,4 м2</t>
  </si>
  <si>
    <t>havana flaviker</t>
  </si>
  <si>
    <t>2210мм на 2800, 2040 на 2800 мм, 2 линии шкафов</t>
  </si>
  <si>
    <t>1 шт. - как на коллаже</t>
  </si>
  <si>
    <t>1шт - изголовье-замша,размер изголовья 340cм (220+60+60)</t>
  </si>
  <si>
    <t>на заказ - с канатами,люками,панелями итд.2000на1000,двухуровневая</t>
  </si>
  <si>
    <t>1. шт - 2200мм на 600</t>
  </si>
  <si>
    <t>1 - 820 на 450,высота 2850</t>
  </si>
  <si>
    <t>1 - 2235мм на 600мм,высота 2850мм</t>
  </si>
  <si>
    <t>5 шт.</t>
  </si>
  <si>
    <t>цену только тут нашла - http://www.archiexpo.com.ru/prod/smarin/product-50694-1803078.html</t>
  </si>
  <si>
    <t>я не нашла в колаже ничего, так что наобум поставила</t>
  </si>
  <si>
    <t>apavisa grey ararchy cokecdior</t>
  </si>
  <si>
    <t>5 м2</t>
  </si>
  <si>
    <t>http://www.italtiles.ru/catalogue/41zero42/41zero42_futura/</t>
  </si>
  <si>
    <t>4,2 м2</t>
  </si>
  <si>
    <t>4100523, 15X15 см, Drop White</t>
  </si>
  <si>
    <t>плитка на все стены</t>
  </si>
  <si>
    <t xml:space="preserve">natural mat nett </t>
  </si>
  <si>
    <t>18,9 м2</t>
  </si>
  <si>
    <t>1 - толщина 4см,60на 50см</t>
  </si>
  <si>
    <t>1 - 800мм на 2200мм</t>
  </si>
  <si>
    <t>mutina</t>
  </si>
  <si>
    <t>0,5 м2</t>
  </si>
  <si>
    <t xml:space="preserve">Hooker </t>
  </si>
  <si>
    <t xml:space="preserve">Bernhardt </t>
  </si>
  <si>
    <t xml:space="preserve">Arteriors Home </t>
  </si>
  <si>
    <t xml:space="preserve">Встроенный стеллаж шпон </t>
  </si>
  <si>
    <t>4.96 кв.м - шпон разных тонов - дуб</t>
  </si>
  <si>
    <t xml:space="preserve">Anesis </t>
  </si>
  <si>
    <t xml:space="preserve">Montis </t>
  </si>
  <si>
    <t xml:space="preserve">Delta Light </t>
  </si>
  <si>
    <t xml:space="preserve">Miele </t>
  </si>
  <si>
    <t xml:space="preserve">Bisazza </t>
  </si>
  <si>
    <t xml:space="preserve">Lexington </t>
  </si>
  <si>
    <t>1 шт.</t>
  </si>
  <si>
    <t xml:space="preserve">Linie Design тафтинг </t>
  </si>
  <si>
    <t xml:space="preserve">Gubi </t>
  </si>
  <si>
    <t xml:space="preserve">Opinion Giati </t>
  </si>
  <si>
    <t xml:space="preserve">Samsung </t>
  </si>
  <si>
    <t>MisuraEmme</t>
  </si>
  <si>
    <t xml:space="preserve">Phillip Hurel </t>
  </si>
  <si>
    <t xml:space="preserve">уточняется </t>
  </si>
  <si>
    <t>Инд изготовления</t>
  </si>
  <si>
    <t xml:space="preserve">Arteriors </t>
  </si>
  <si>
    <t xml:space="preserve">ARETI </t>
  </si>
  <si>
    <t xml:space="preserve">Liebherr </t>
  </si>
  <si>
    <t>2 шт.</t>
  </si>
  <si>
    <t>инд. Изготовления</t>
  </si>
  <si>
    <t xml:space="preserve">Delightful </t>
  </si>
  <si>
    <t xml:space="preserve">Poltrona Frau </t>
  </si>
  <si>
    <t>MINOTTI</t>
  </si>
  <si>
    <t xml:space="preserve">Eichholtz </t>
  </si>
  <si>
    <t xml:space="preserve">Calligaris </t>
  </si>
  <si>
    <t>Gallotti&amp;Radice</t>
  </si>
  <si>
    <t xml:space="preserve">Doog </t>
  </si>
  <si>
    <t>PoltronaFrau</t>
  </si>
  <si>
    <t>инд.изготовления</t>
  </si>
  <si>
    <t>Faneurope</t>
  </si>
  <si>
    <t>Arteriors</t>
  </si>
  <si>
    <t xml:space="preserve">на заказ открытые шкафы </t>
  </si>
  <si>
    <t xml:space="preserve">инд.изготовления </t>
  </si>
  <si>
    <t xml:space="preserve">Buzzi Buzi </t>
  </si>
  <si>
    <t xml:space="preserve">Ibani </t>
  </si>
  <si>
    <t xml:space="preserve">панели </t>
  </si>
  <si>
    <t>уточняется</t>
  </si>
  <si>
    <t>стеллаж</t>
  </si>
  <si>
    <t xml:space="preserve">6 шт. </t>
  </si>
  <si>
    <t>5,9 м2</t>
  </si>
  <si>
    <t>ANTONIO LUPI</t>
  </si>
  <si>
    <t xml:space="preserve"> 1 шт.</t>
  </si>
  <si>
    <t xml:space="preserve"> 2 шт.</t>
  </si>
  <si>
    <t>2 - шт.</t>
  </si>
  <si>
    <t>4 шт.</t>
  </si>
  <si>
    <t>8,4 м2</t>
  </si>
  <si>
    <t>14,92  м2</t>
  </si>
  <si>
    <t>инд изготовления</t>
  </si>
  <si>
    <t xml:space="preserve">площадь119м.кв. </t>
  </si>
  <si>
    <t>Итого MAX:</t>
  </si>
  <si>
    <t>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</si>
</sst>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р.-419]_);[Red]\(#,##0.00\ [$р.-419]\)"/>
    <numFmt numFmtId="165" formatCode="#,##0.00\ [$р.-423];[Red]#,##0.00\ [$р.-423]"/>
    <numFmt numFmtId="166" formatCode="#,##0\ &quot;₽&quot;;[Red]#,##0\ &quot;₽&quot;"/>
  </numFmts>
  <fonts count="26">
    <font>
      <sz val="10"/>
      <color indexed="8"/>
      <name val="Avenir Next"/>
    </font>
    <font>
      <sz val="12"/>
      <color indexed="8"/>
      <name val="Avenir Next"/>
    </font>
    <font>
      <sz val="10"/>
      <color indexed="10"/>
      <name val="Avenir Next Demi Bold"/>
    </font>
    <font>
      <sz val="10"/>
      <color indexed="8"/>
      <name val="Avenir Next Demi Bold"/>
    </font>
    <font>
      <u/>
      <sz val="10"/>
      <color theme="10"/>
      <name val="Avenir Next"/>
    </font>
    <font>
      <u/>
      <sz val="10"/>
      <color theme="11"/>
      <name val="Avenir Next"/>
    </font>
    <font>
      <sz val="10"/>
      <color rgb="FFFF0000"/>
      <name val="Avenir Next"/>
    </font>
    <font>
      <u/>
      <sz val="10"/>
      <color rgb="FFFF0000"/>
      <name val="Avenir Next"/>
    </font>
    <font>
      <b/>
      <sz val="12"/>
      <color rgb="FFFF0000"/>
      <name val="Avenir Next"/>
      <charset val="204"/>
    </font>
    <font>
      <sz val="10"/>
      <color indexed="8"/>
      <name val="Avenir Next Demi Bold"/>
      <charset val="204"/>
    </font>
    <font>
      <sz val="10"/>
      <color theme="1" tint="0.249977111117893"/>
      <name val="Avenir Next Demi Bold"/>
      <charset val="204"/>
    </font>
    <font>
      <sz val="10"/>
      <color theme="9" tint="-0.499984740745262"/>
      <name val="Avenir Next Demi Bold"/>
      <charset val="204"/>
    </font>
    <font>
      <sz val="10"/>
      <name val="Avenir Next"/>
      <charset val="204"/>
    </font>
    <font>
      <sz val="10"/>
      <name val="Avenir Next"/>
    </font>
    <font>
      <sz val="8"/>
      <color indexed="8"/>
      <name val="Avenir Next"/>
    </font>
    <font>
      <u/>
      <sz val="8"/>
      <color theme="10"/>
      <name val="Avenir Next"/>
    </font>
    <font>
      <sz val="10"/>
      <name val="Avenir Next Demi Bold"/>
    </font>
    <font>
      <sz val="10"/>
      <name val="Avenir Next Demi Bold"/>
      <charset val="204"/>
    </font>
    <font>
      <sz val="10"/>
      <color theme="0"/>
      <name val="Avenir Next Demi Bold"/>
    </font>
    <font>
      <sz val="9"/>
      <name val="Avenir Next"/>
    </font>
    <font>
      <u/>
      <sz val="10"/>
      <name val="Avenir Next"/>
    </font>
    <font>
      <b/>
      <sz val="8"/>
      <color rgb="FFFF0000"/>
      <name val="Avenir Next"/>
    </font>
    <font>
      <sz val="8"/>
      <color rgb="FFFF0000"/>
      <name val="Avenir Next"/>
    </font>
    <font>
      <sz val="8"/>
      <name val="Avenir Next"/>
    </font>
    <font>
      <u/>
      <sz val="8"/>
      <name val="Avenir Next"/>
    </font>
    <font>
      <sz val="12"/>
      <name val="Avenir Next"/>
    </font>
  </fonts>
  <fills count="9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12"/>
      </top>
      <bottom style="thin">
        <color indexed="12"/>
      </bottom>
      <diagonal/>
    </border>
    <border>
      <left style="thin">
        <color auto="1"/>
      </left>
      <right style="thin">
        <color auto="1"/>
      </right>
      <top/>
      <bottom style="thin">
        <color indexed="12"/>
      </bottom>
      <diagonal/>
    </border>
    <border>
      <left style="thin">
        <color indexed="13"/>
      </left>
      <right style="thin">
        <color auto="1"/>
      </right>
      <top style="thin">
        <color indexed="12"/>
      </top>
      <bottom style="thin">
        <color indexed="1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auto="1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auto="1"/>
      </top>
      <bottom style="thin">
        <color indexed="12"/>
      </bottom>
      <diagonal/>
    </border>
    <border>
      <left/>
      <right style="thin">
        <color indexed="12"/>
      </right>
      <top style="thin">
        <color auto="1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12"/>
      </right>
      <top style="thin">
        <color indexed="64"/>
      </top>
      <bottom style="thin">
        <color indexed="12"/>
      </bottom>
      <diagonal/>
    </border>
  </borders>
  <cellStyleXfs count="12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16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0" xfId="0" applyFont="1" applyAlignment="1">
      <alignment vertical="center"/>
    </xf>
    <xf numFmtId="0" fontId="4" fillId="0" borderId="0" xfId="9" applyNumberFormat="1" applyAlignment="1">
      <alignment vertical="top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38" fontId="3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164" fontId="0" fillId="4" borderId="8" xfId="0" applyNumberFormat="1" applyFont="1" applyFill="1" applyBorder="1" applyAlignment="1">
      <alignment horizontal="center" vertical="center" wrapText="1"/>
    </xf>
    <xf numFmtId="0" fontId="4" fillId="0" borderId="0" xfId="9" applyNumberForma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9" applyNumberFormat="1" applyFont="1" applyAlignment="1">
      <alignment horizontal="center" vertical="center" wrapText="1"/>
    </xf>
    <xf numFmtId="0" fontId="8" fillId="0" borderId="0" xfId="0" applyNumberFormat="1" applyFont="1" applyAlignment="1">
      <alignment vertical="top" wrapText="1"/>
    </xf>
    <xf numFmtId="0" fontId="4" fillId="0" borderId="0" xfId="9" applyNumberFormat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9" applyNumberFormat="1" applyFont="1" applyAlignment="1">
      <alignment horizontal="center" vertical="center" wrapText="1"/>
    </xf>
    <xf numFmtId="0" fontId="4" fillId="0" borderId="0" xfId="9" applyAlignment="1">
      <alignment horizontal="center" vertical="center" wrapText="1"/>
    </xf>
    <xf numFmtId="0" fontId="13" fillId="0" borderId="0" xfId="9" applyNumberFormat="1" applyFont="1" applyAlignment="1">
      <alignment vertical="top" wrapText="1"/>
    </xf>
    <xf numFmtId="164" fontId="0" fillId="5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15" fillId="0" borderId="0" xfId="9" applyNumberFormat="1" applyFont="1" applyAlignment="1">
      <alignment horizontal="center" vertical="center" wrapText="1"/>
    </xf>
    <xf numFmtId="0" fontId="15" fillId="0" borderId="0" xfId="9" applyFont="1" applyAlignment="1">
      <alignment vertical="top" wrapText="1"/>
    </xf>
    <xf numFmtId="0" fontId="15" fillId="0" borderId="0" xfId="9" applyNumberFormat="1" applyFont="1" applyAlignment="1">
      <alignment vertical="top" wrapText="1"/>
    </xf>
    <xf numFmtId="38" fontId="0" fillId="4" borderId="8" xfId="0" applyNumberFormat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164" fontId="4" fillId="5" borderId="8" xfId="9" applyNumberFormat="1" applyFill="1" applyBorder="1" applyAlignment="1">
      <alignment horizontal="center" vertical="center" wrapText="1"/>
    </xf>
    <xf numFmtId="164" fontId="13" fillId="5" borderId="8" xfId="9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9" fillId="5" borderId="8" xfId="0" applyNumberFormat="1" applyFont="1" applyFill="1" applyBorder="1" applyAlignment="1">
      <alignment horizontal="left" vertical="center" wrapText="1"/>
    </xf>
    <xf numFmtId="38" fontId="0" fillId="4" borderId="8" xfId="0" applyNumberFormat="1" applyFont="1" applyFill="1" applyBorder="1" applyAlignment="1">
      <alignment horizontal="left" vertical="center" wrapText="1"/>
    </xf>
    <xf numFmtId="49" fontId="3" fillId="5" borderId="8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49" fontId="16" fillId="3" borderId="8" xfId="0" applyNumberFormat="1" applyFont="1" applyFill="1" applyBorder="1" applyAlignment="1">
      <alignment horizontal="center" vertical="center" wrapText="1"/>
    </xf>
    <xf numFmtId="38" fontId="13" fillId="4" borderId="8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 wrapText="1"/>
    </xf>
    <xf numFmtId="49" fontId="17" fillId="3" borderId="8" xfId="0" applyNumberFormat="1" applyFont="1" applyFill="1" applyBorder="1" applyAlignment="1">
      <alignment horizontal="center" vertical="center" wrapText="1"/>
    </xf>
    <xf numFmtId="164" fontId="13" fillId="5" borderId="8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164" fontId="0" fillId="6" borderId="8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164" fontId="0" fillId="5" borderId="15" xfId="0" applyNumberFormat="1" applyFont="1" applyFill="1" applyBorder="1" applyAlignment="1">
      <alignment horizontal="center" vertical="center" wrapText="1"/>
    </xf>
    <xf numFmtId="164" fontId="0" fillId="4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right" vertical="center" wrapText="1"/>
    </xf>
    <xf numFmtId="38" fontId="0" fillId="4" borderId="15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38" fontId="13" fillId="5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20" fillId="0" borderId="0" xfId="9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 wrapText="1"/>
    </xf>
    <xf numFmtId="0" fontId="15" fillId="0" borderId="0" xfId="9" applyNumberFormat="1" applyFont="1" applyAlignment="1">
      <alignment vertical="center" wrapText="1"/>
    </xf>
    <xf numFmtId="0" fontId="21" fillId="0" borderId="0" xfId="0" applyNumberFormat="1" applyFont="1" applyAlignment="1">
      <alignment vertical="top" wrapText="1"/>
    </xf>
    <xf numFmtId="0" fontId="15" fillId="0" borderId="0" xfId="9" applyFont="1" applyAlignment="1">
      <alignment horizontal="center" vertical="center" wrapText="1"/>
    </xf>
    <xf numFmtId="164" fontId="0" fillId="6" borderId="10" xfId="0" applyNumberFormat="1" applyFont="1" applyFill="1" applyBorder="1" applyAlignment="1">
      <alignment horizontal="center" vertical="center" wrapText="1"/>
    </xf>
    <xf numFmtId="38" fontId="0" fillId="4" borderId="11" xfId="0" applyNumberFormat="1" applyFont="1" applyFill="1" applyBorder="1" applyAlignment="1">
      <alignment horizontal="center" vertical="center" wrapText="1"/>
    </xf>
    <xf numFmtId="164" fontId="0" fillId="4" borderId="9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164" fontId="13" fillId="4" borderId="15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38" fontId="12" fillId="4" borderId="15" xfId="0" applyNumberFormat="1" applyFont="1" applyFill="1" applyBorder="1" applyAlignment="1">
      <alignment horizontal="center" vertical="center" wrapText="1"/>
    </xf>
    <xf numFmtId="164" fontId="4" fillId="5" borderId="15" xfId="9" applyNumberForma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38" fontId="0" fillId="5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24" fillId="0" borderId="0" xfId="9" applyFont="1" applyAlignment="1">
      <alignment horizontal="center" vertical="center" wrapText="1"/>
    </xf>
    <xf numFmtId="0" fontId="24" fillId="0" borderId="0" xfId="9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16" fillId="2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38" fontId="13" fillId="7" borderId="8" xfId="0" applyNumberFormat="1" applyFont="1" applyFill="1" applyBorder="1" applyAlignment="1">
      <alignment horizontal="center" vertical="center" wrapText="1"/>
    </xf>
    <xf numFmtId="49" fontId="16" fillId="3" borderId="15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164" fontId="13" fillId="7" borderId="15" xfId="0" applyNumberFormat="1" applyFont="1" applyFill="1" applyBorder="1" applyAlignment="1">
      <alignment horizontal="center" vertical="center" wrapText="1"/>
    </xf>
    <xf numFmtId="38" fontId="13" fillId="4" borderId="15" xfId="0" applyNumberFormat="1" applyFont="1" applyFill="1" applyBorder="1" applyAlignment="1">
      <alignment horizontal="center" vertical="center" wrapText="1"/>
    </xf>
    <xf numFmtId="164" fontId="13" fillId="5" borderId="15" xfId="0" applyNumberFormat="1" applyFont="1" applyFill="1" applyBorder="1" applyAlignment="1">
      <alignment horizontal="center" vertical="center" wrapText="1"/>
    </xf>
    <xf numFmtId="38" fontId="0" fillId="8" borderId="15" xfId="0" applyNumberFormat="1" applyFont="1" applyFill="1" applyBorder="1" applyAlignment="1">
      <alignment horizontal="center" vertical="center" wrapText="1"/>
    </xf>
    <xf numFmtId="164" fontId="13" fillId="8" borderId="15" xfId="0" applyNumberFormat="1" applyFont="1" applyFill="1" applyBorder="1" applyAlignment="1">
      <alignment horizontal="center" vertical="center" wrapText="1"/>
    </xf>
    <xf numFmtId="164" fontId="0" fillId="8" borderId="15" xfId="0" applyNumberFormat="1" applyFont="1" applyFill="1" applyBorder="1" applyAlignment="1">
      <alignment horizontal="center" vertical="center" wrapText="1"/>
    </xf>
    <xf numFmtId="166" fontId="0" fillId="4" borderId="15" xfId="0" applyNumberFormat="1" applyFont="1" applyFill="1" applyBorder="1" applyAlignment="1">
      <alignment horizontal="center" vertical="center" wrapText="1"/>
    </xf>
    <xf numFmtId="38" fontId="0" fillId="8" borderId="8" xfId="0" applyNumberFormat="1" applyFont="1" applyFill="1" applyBorder="1" applyAlignment="1">
      <alignment horizontal="center" vertical="center" wrapText="1"/>
    </xf>
    <xf numFmtId="164" fontId="0" fillId="8" borderId="8" xfId="0" applyNumberFormat="1" applyFont="1" applyFill="1" applyBorder="1" applyAlignment="1">
      <alignment horizontal="center" vertical="center" wrapText="1"/>
    </xf>
    <xf numFmtId="38" fontId="13" fillId="8" borderId="8" xfId="0" applyNumberFormat="1" applyFont="1" applyFill="1" applyBorder="1" applyAlignment="1">
      <alignment horizontal="center" vertical="center" wrapText="1"/>
    </xf>
    <xf numFmtId="164" fontId="13" fillId="8" borderId="8" xfId="0" applyNumberFormat="1" applyFont="1" applyFill="1" applyBorder="1" applyAlignment="1">
      <alignment horizontal="center" vertical="center" wrapText="1"/>
    </xf>
    <xf numFmtId="38" fontId="13" fillId="5" borderId="1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3" xfId="0" applyNumberFormat="1" applyFont="1" applyBorder="1" applyAlignment="1">
      <alignment horizontal="right" vertical="center" wrapText="1"/>
    </xf>
    <xf numFmtId="49" fontId="3" fillId="6" borderId="26" xfId="0" applyNumberFormat="1" applyFont="1" applyFill="1" applyBorder="1" applyAlignment="1">
      <alignment horizontal="right" vertical="center" wrapText="1"/>
    </xf>
    <xf numFmtId="49" fontId="3" fillId="6" borderId="0" xfId="0" applyNumberFormat="1" applyFont="1" applyFill="1" applyBorder="1" applyAlignment="1">
      <alignment horizontal="right" vertical="center" wrapText="1"/>
    </xf>
    <xf numFmtId="49" fontId="3" fillId="6" borderId="27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49" fontId="3" fillId="0" borderId="28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49" fontId="3" fillId="6" borderId="12" xfId="0" applyNumberFormat="1" applyFont="1" applyFill="1" applyBorder="1" applyAlignment="1">
      <alignment horizontal="right" vertical="center" wrapText="1"/>
    </xf>
    <xf numFmtId="49" fontId="3" fillId="6" borderId="13" xfId="0" applyNumberFormat="1" applyFont="1" applyFill="1" applyBorder="1" applyAlignment="1">
      <alignment horizontal="right" vertical="center" wrapText="1"/>
    </xf>
    <xf numFmtId="49" fontId="3" fillId="6" borderId="14" xfId="0" applyNumberFormat="1" applyFont="1" applyFill="1" applyBorder="1" applyAlignment="1">
      <alignment horizontal="right" vertical="center" wrapText="1"/>
    </xf>
    <xf numFmtId="49" fontId="3" fillId="8" borderId="15" xfId="0" applyNumberFormat="1" applyFont="1" applyFill="1" applyBorder="1" applyAlignment="1">
      <alignment horizontal="center" vertical="center" wrapText="1"/>
    </xf>
    <xf numFmtId="164" fontId="6" fillId="4" borderId="15" xfId="0" applyNumberFormat="1" applyFont="1" applyFill="1" applyBorder="1" applyAlignment="1">
      <alignment horizontal="center" vertical="center" wrapText="1"/>
    </xf>
    <xf numFmtId="164" fontId="6" fillId="5" borderId="15" xfId="0" applyNumberFormat="1" applyFont="1" applyFill="1" applyBorder="1" applyAlignment="1">
      <alignment horizontal="center" vertical="center" wrapText="1"/>
    </xf>
    <xf numFmtId="166" fontId="6" fillId="4" borderId="15" xfId="0" applyNumberFormat="1" applyFont="1" applyFill="1" applyBorder="1" applyAlignment="1">
      <alignment horizontal="center" vertical="center" wrapText="1"/>
    </xf>
    <xf numFmtId="38" fontId="6" fillId="4" borderId="15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49" fontId="3" fillId="8" borderId="8" xfId="0" applyNumberFormat="1" applyFont="1" applyFill="1" applyBorder="1" applyAlignment="1">
      <alignment horizontal="left" vertical="center" wrapText="1"/>
    </xf>
    <xf numFmtId="38" fontId="0" fillId="8" borderId="8" xfId="0" applyNumberFormat="1" applyFont="1" applyFill="1" applyBorder="1" applyAlignment="1">
      <alignment horizontal="left" vertical="center" wrapText="1"/>
    </xf>
    <xf numFmtId="49" fontId="9" fillId="8" borderId="8" xfId="0" applyNumberFormat="1" applyFont="1" applyFill="1" applyBorder="1" applyAlignment="1">
      <alignment horizontal="left" vertical="center" wrapText="1"/>
    </xf>
  </cellXfs>
  <cellStyles count="1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1" builtinId="9" hidden="1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594A3A"/>
      <rgbColor rgb="FF000000"/>
      <rgbColor rgb="FFFEFEFE"/>
      <rgbColor rgb="FFA2917D"/>
      <rgbColor rgb="FFDED9D4"/>
      <rgbColor rgb="FF7E6A54"/>
      <rgbColor rgb="FFE4E2DE"/>
      <rgbColor rgb="FFFFF8DF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05_Personal_Budget">
  <a:themeElements>
    <a:clrScheme name="05_Personal_Budget">
      <a:dk1>
        <a:srgbClr val="000000"/>
      </a:dk1>
      <a:lt1>
        <a:srgbClr val="FFFFFF"/>
      </a:lt1>
      <a:dk2>
        <a:srgbClr val="5B5854"/>
      </a:dk2>
      <a:lt2>
        <a:srgbClr val="C9C3BA"/>
      </a:lt2>
      <a:accent1>
        <a:srgbClr val="5CB1AB"/>
      </a:accent1>
      <a:accent2>
        <a:srgbClr val="8FAD4B"/>
      </a:accent2>
      <a:accent3>
        <a:srgbClr val="FFD84A"/>
      </a:accent3>
      <a:accent4>
        <a:srgbClr val="F7825C"/>
      </a:accent4>
      <a:accent5>
        <a:srgbClr val="958BBD"/>
      </a:accent5>
      <a:accent6>
        <a:srgbClr val="A3917D"/>
      </a:accent6>
      <a:hlink>
        <a:srgbClr val="0000FF"/>
      </a:hlink>
      <a:folHlink>
        <a:srgbClr val="FF00FF"/>
      </a:folHlink>
    </a:clrScheme>
    <a:fontScheme name="05_Personal_Budget">
      <a:majorFont>
        <a:latin typeface="Baskerville"/>
        <a:ea typeface="Baskerville"/>
        <a:cs typeface="Baskerville"/>
      </a:majorFont>
      <a:minorFont>
        <a:latin typeface="Avenir Next"/>
        <a:ea typeface="Avenir Next"/>
        <a:cs typeface="Avenir Next"/>
      </a:minorFont>
    </a:fontScheme>
    <a:fmtScheme name="05_Personal_Budg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chemeClr val="accent6">
              <a:satOff val="3260"/>
              <a:lumOff val="-27490"/>
              <a:alpha val="50000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chemeClr val="accent6">
                <a:satOff val="3260"/>
                <a:lumOff val="-27490"/>
              </a:schemeClr>
            </a:solidFill>
            <a:effectLst/>
            <a:uFillTx/>
            <a:latin typeface="Hoefler Text"/>
            <a:ea typeface="Hoefler Text"/>
            <a:cs typeface="Hoefler Text"/>
            <a:sym typeface="Hoefler T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itant.com/products/torsher-dream-faneurope-linea-luce-design-i-dream-pt-nero" TargetMode="External"/><Relationship Id="rId3" Type="http://schemas.openxmlformats.org/officeDocument/2006/relationships/hyperlink" Target="https://www.oboilux.ru/wallpapers/WallAndDeco/Life15/WDPL1501" TargetMode="External"/><Relationship Id="rId7" Type="http://schemas.openxmlformats.org/officeDocument/2006/relationships/hyperlink" Target="http://www.leebroom.com/lighting/fulcrum-light/" TargetMode="External"/><Relationship Id="rId2" Type="http://schemas.openxmlformats.org/officeDocument/2006/relationships/hyperlink" Target="https://www.2modern.com/products/jaime-end-table" TargetMode="External"/><Relationship Id="rId1" Type="http://schemas.openxmlformats.org/officeDocument/2006/relationships/hyperlink" Target="https://www.dooqdetails.com/detail-produtos/la-folie/" TargetMode="External"/><Relationship Id="rId6" Type="http://schemas.openxmlformats.org/officeDocument/2006/relationships/hyperlink" Target="https://www.archiproducts.com/ru/%D0%BF%D1%80%D0%BE%D0%B4%D1%83%D0%BA%D1%82%D1%8B/inkiostro-bianco/%D0%BE%D1%82%D0%B4%D0%B5%D0%BB%D0%BE%D1%87%D0%BD%D0%BE%D0%B5-%D0%BF%D0%BE%D0%BA%D1%80%D1%8B%D1%82%D0%B8%D0%B5-canneto_339557" TargetMode="External"/><Relationship Id="rId5" Type="http://schemas.openxmlformats.org/officeDocument/2006/relationships/hyperlink" Target="http://www.buzzi-buzzi.it/en/product/basic-round" TargetMode="External"/><Relationship Id="rId10" Type="http://schemas.openxmlformats.org/officeDocument/2006/relationships/printerSettings" Target="../printerSettings/printerSettings10.bin"/><Relationship Id="rId4" Type="http://schemas.openxmlformats.org/officeDocument/2006/relationships/hyperlink" Target="https://www.poltronafrau.com/en/catalogue/furniture/fidelio-notte" TargetMode="External"/><Relationship Id="rId9" Type="http://schemas.openxmlformats.org/officeDocument/2006/relationships/hyperlink" Target="http://www.meridiani.it/en-us/products/editions/tuyo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dom-decor.com/index.php/s/xXyrYEKf54obqAa" TargetMode="External"/><Relationship Id="rId2" Type="http://schemas.openxmlformats.org/officeDocument/2006/relationships/hyperlink" Target="https://www.archiproducts.com/ru/%D0%BF%D1%80%D0%BE%D0%B4%D1%83%D0%BA%D1%82%D1%8B/smarin/%D0%BF%D1%83%D1%84-livingstones_91486" TargetMode="External"/><Relationship Id="rId1" Type="http://schemas.openxmlformats.org/officeDocument/2006/relationships/hyperlink" Target="http://www.buzzi-buzzi.it/en/product/eggy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union.ru/product/sinthesy-quadra-122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altiles.ru/catalogue/41zero42/41zero42_futura/" TargetMode="External"/><Relationship Id="rId2" Type="http://schemas.openxmlformats.org/officeDocument/2006/relationships/hyperlink" Target="https://www.inbani.com/ru/%D0%BA%D0%BE%D0%BB%D0%BB%D0%B5%D0%BA%D1%86%D0%B8%D0%B8/strato/" TargetMode="External"/><Relationship Id="rId1" Type="http://schemas.openxmlformats.org/officeDocument/2006/relationships/hyperlink" Target="https://www.inbani.com/ru/%D0%BF%D1%80%D0%BE%D0%B4%D1%83%D0%BA%D1%82%D1%8B/fluent-4/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buzzi-buzzi.it/en/product/leaf" TargetMode="External"/><Relationship Id="rId1" Type="http://schemas.openxmlformats.org/officeDocument/2006/relationships/hyperlink" Target="http://www.buzzi-buzzi.it/en/product/basic-roun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uzzi-buzzi.it/en/product/basic-round" TargetMode="External"/><Relationship Id="rId3" Type="http://schemas.openxmlformats.org/officeDocument/2006/relationships/hyperlink" Target="http://www.arteriorshome.com/haynes-left-sconce-49080" TargetMode="External"/><Relationship Id="rId7" Type="http://schemas.openxmlformats.org/officeDocument/2006/relationships/hyperlink" Target="https://www.bernhardt.com/product/kingston/ottomans/ottoman-0" TargetMode="External"/><Relationship Id="rId2" Type="http://schemas.openxmlformats.org/officeDocument/2006/relationships/hyperlink" Target="https://www.isolux.ru/dizaynerskaya-3d-panel-iz-gipsa-artpole-paraline-600h600-mm.html" TargetMode="External"/><Relationship Id="rId1" Type="http://schemas.openxmlformats.org/officeDocument/2006/relationships/hyperlink" Target="https://tile.expert/ru/tile/Bisazza/Dal-Bianco/i/Dal%20Bianco-Bisazza-12" TargetMode="External"/><Relationship Id="rId6" Type="http://schemas.openxmlformats.org/officeDocument/2006/relationships/hyperlink" Target="https://berkleyhome.ru/product/gordon-mirror" TargetMode="External"/><Relationship Id="rId5" Type="http://schemas.openxmlformats.org/officeDocument/2006/relationships/hyperlink" Target="https://berkleyhome.ru/product/gordon-mirror" TargetMode="External"/><Relationship Id="rId4" Type="http://schemas.openxmlformats.org/officeDocument/2006/relationships/hyperlink" Target="https://berkleyhome.ru/product/hooker-furniture-living-room-melange-rowan-chest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rchiproducts.com/en/products/misuraemme/oak-coffee-table-with-integrated-magazine-rack-argo-coffee-table_226971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www.arteriorshome.com/murphy-chandelier" TargetMode="External"/><Relationship Id="rId7" Type="http://schemas.openxmlformats.org/officeDocument/2006/relationships/hyperlink" Target="https://www.archiproducts.com/en/products/anesis/extending-oval-dining-table-gallo-extending-table_345080" TargetMode="External"/><Relationship Id="rId12" Type="http://schemas.openxmlformats.org/officeDocument/2006/relationships/hyperlink" Target="https://berkleyhome.ru/product/cloister-sideboard" TargetMode="External"/><Relationship Id="rId2" Type="http://schemas.openxmlformats.org/officeDocument/2006/relationships/hyperlink" Target="https://loft-concept.ru/catalog/neskolko_lamp/lyustra_areti_row_pendant/" TargetMode="External"/><Relationship Id="rId1" Type="http://schemas.openxmlformats.org/officeDocument/2006/relationships/hyperlink" Target="http://www.buzzi-buzzi.it/en/product/basic-round" TargetMode="External"/><Relationship Id="rId6" Type="http://schemas.openxmlformats.org/officeDocument/2006/relationships/hyperlink" Target="https://www.philippe-hurel.com/bertold" TargetMode="External"/><Relationship Id="rId11" Type="http://schemas.openxmlformats.org/officeDocument/2006/relationships/hyperlink" Target="http://www.liniedesign.com/product/0x6666858730b7e7f49ebdf3b3d4f62b97/" TargetMode="External"/><Relationship Id="rId5" Type="http://schemas.openxmlformats.org/officeDocument/2006/relationships/hyperlink" Target="https://www.archiproducts.com/ru/%D0%BF%D1%80%D0%BE%D0%B4%D1%83%D0%BA%D1%82%D1%8B/opinion-ciatti/%D0%B2%D0%B8%D1%82%D1%80%D0%B8%D0%BD%D0%B0-yang_338002" TargetMode="External"/><Relationship Id="rId10" Type="http://schemas.openxmlformats.org/officeDocument/2006/relationships/hyperlink" Target="https://www.archiproducts.com/ru/%D0%BF%D1%80%D0%BE%D0%B4%D1%83%D0%BA%D1%82%D1%8B/montis/%D1%81%D1%82%D1%83%D0%BB-back-me-up-%D1%81%D1%82%D1%83%D0%BB_347903" TargetMode="External"/><Relationship Id="rId4" Type="http://schemas.openxmlformats.org/officeDocument/2006/relationships/hyperlink" Target="https://www.isolux.ru/dizaynerskaya-3d-panel-iz-gipsa-artpole-paraline-600h600-mm.html" TargetMode="External"/><Relationship Id="rId9" Type="http://schemas.openxmlformats.org/officeDocument/2006/relationships/hyperlink" Target="https://www.decorazzio.com/product/svetilnik-nastolnyy-gubi-gravity_talbe_lamp_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deltalight.com/ru/products/detail/midispy-jac-92740-mdl-jac-241-923-mdl" TargetMode="External"/><Relationship Id="rId1" Type="http://schemas.openxmlformats.org/officeDocument/2006/relationships/hyperlink" Target="https://tile.expert/ru/tile/Bisazza/Dal-Bianco/i/Dal%20Bianco-Bisazza-1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oqdetails.com/detail-produtos/alma/" TargetMode="External"/><Relationship Id="rId2" Type="http://schemas.openxmlformats.org/officeDocument/2006/relationships/hyperlink" Target="https://vcgallery.ru/ceiling/KW5509AB-AW-FA" TargetMode="External"/><Relationship Id="rId1" Type="http://schemas.openxmlformats.org/officeDocument/2006/relationships/hyperlink" Target="https://www.technopark.ru/vinnyy-shkaf-liebherr-uwtgb-1682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union.ru/product/sinthesy-quadra-122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rtreal.ru/keramogranit/italy/mirage/rev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rcelonadesign.ru/product/561-lyustra-duke/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s://www.poltronafrau.com/en/catalogue/armchairs-and-pouf/mamy-blue" TargetMode="External"/><Relationship Id="rId1" Type="http://schemas.openxmlformats.org/officeDocument/2006/relationships/hyperlink" Target="https://www.archiproducts.com/en/products/calligaris/velvet-sofa-with-removable-cover-leaf_323939" TargetMode="External"/><Relationship Id="rId6" Type="http://schemas.openxmlformats.org/officeDocument/2006/relationships/hyperlink" Target="http://www.milansofa.ru/item/7207" TargetMode="External"/><Relationship Id="rId5" Type="http://schemas.openxmlformats.org/officeDocument/2006/relationships/hyperlink" Target="https://www.hookerfurniture.com/melange-frye-chest/638-85388-ltbk-5/iteminformation.aspx" TargetMode="External"/><Relationship Id="rId4" Type="http://schemas.openxmlformats.org/officeDocument/2006/relationships/hyperlink" Target="http://loft-concept.ru/catalog/light/bra_delightfull_cairo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rchiproducts.com/ru/%D0%BF%D1%80%D0%BE%D0%B4%D1%83%D0%BA%D1%82%D1%8B/gallotti-radice/%D0%BF%D0%BE%D0%B4%D0%B2%D0%B5%D1%81%D0%BD%D0%BE%D0%B8-%D1%81%D0%B2%D0%B5%D1%82%D0%B8%D0%BB%D1%8C%D0%BD%D0%B8%D0%BA-epsilon-sola_308114" TargetMode="External"/><Relationship Id="rId3" Type="http://schemas.openxmlformats.org/officeDocument/2006/relationships/hyperlink" Target="http://www.inkiostrobianco.com/collezioni/lineadeko/" TargetMode="External"/><Relationship Id="rId7" Type="http://schemas.openxmlformats.org/officeDocument/2006/relationships/hyperlink" Target="http://www.gessi.com/ru/%D0%9A%D0%B0%D1%82%D0%B0%D0%BB%D0%BE%D0%B3/%D0%B2%D0%B0%D0%BD%D0%BD%D0%B0%D1%8F-%D0%BA%D0%BE%D0%BC%D0%BD%D0%B0%D1%82%D0%B0/goccia/goccia-%D0%B2%D0%B0%D0%BD%D0%BD%D1%8B/%D0%B2%D0%B0%D0%BD%D0%BD%D1%8B" TargetMode="External"/><Relationship Id="rId2" Type="http://schemas.openxmlformats.org/officeDocument/2006/relationships/hyperlink" Target="https://www.antoniolupi.it/it/" TargetMode="External"/><Relationship Id="rId1" Type="http://schemas.openxmlformats.org/officeDocument/2006/relationships/hyperlink" Target="http://www.buzzi-buzzi.it/en/product/rim" TargetMode="External"/><Relationship Id="rId6" Type="http://schemas.openxmlformats.org/officeDocument/2006/relationships/hyperlink" Target="https://www.artreal.ru/keramogranit/italy/cerdomus/epic/" TargetMode="External"/><Relationship Id="rId5" Type="http://schemas.openxmlformats.org/officeDocument/2006/relationships/hyperlink" Target="http://atlastile.ru/product/atlas-concorde-nid-cashmere-tatami-22-5-90-matt/" TargetMode="External"/><Relationship Id="rId4" Type="http://schemas.openxmlformats.org/officeDocument/2006/relationships/hyperlink" Target="https://tile.expert/en/tile/Mutina/Mews/i/Mews-Mutina-1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view="pageBreakPreview" zoomScale="64" zoomScaleNormal="95" zoomScaleSheetLayoutView="64" zoomScalePageLayoutView="95" workbookViewId="0">
      <pane ySplit="2" topLeftCell="A3" activePane="bottomLeft" state="frozen"/>
      <selection pane="bottomLeft" activeCell="C16" sqref="C16"/>
    </sheetView>
  </sheetViews>
  <sheetFormatPr defaultColWidth="20.42578125" defaultRowHeight="21.75" customHeight="1"/>
  <cols>
    <col min="1" max="1" width="20.42578125" style="57" customWidth="1"/>
    <col min="2" max="2" width="26" style="57" customWidth="1"/>
    <col min="3" max="3" width="40.140625" style="13" customWidth="1"/>
    <col min="4" max="4" width="28.5703125" style="1" customWidth="1"/>
    <col min="5" max="5" width="21.140625" style="1" customWidth="1"/>
    <col min="6" max="256" width="20.42578125" style="1" customWidth="1"/>
  </cols>
  <sheetData>
    <row r="1" spans="1:256" ht="30" customHeight="1">
      <c r="A1" s="117" t="s">
        <v>0</v>
      </c>
      <c r="B1" s="117"/>
      <c r="C1" s="117"/>
      <c r="D1" s="6"/>
      <c r="E1" s="6"/>
    </row>
    <row r="2" spans="1:256" ht="23.85" customHeight="1">
      <c r="A2" s="53" t="s">
        <v>1</v>
      </c>
      <c r="B2" s="53" t="s">
        <v>2</v>
      </c>
      <c r="C2" s="15"/>
      <c r="IU2"/>
      <c r="IV2"/>
    </row>
    <row r="3" spans="1:256" ht="23.85" customHeight="1">
      <c r="A3" s="54" t="s">
        <v>20</v>
      </c>
      <c r="B3" s="55">
        <v>1</v>
      </c>
      <c r="C3" s="40">
        <f>'1.Прихожая'!D15</f>
        <v>1323185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/>
      <c r="IV3"/>
    </row>
    <row r="4" spans="1:256" ht="22.5" customHeight="1">
      <c r="A4" s="56" t="s">
        <v>21</v>
      </c>
      <c r="B4" s="55">
        <v>1</v>
      </c>
      <c r="C4" s="40">
        <f>'2.Гостиная'!D22</f>
        <v>4552140</v>
      </c>
      <c r="IU4"/>
      <c r="IV4"/>
    </row>
    <row r="5" spans="1:256" ht="22.35" customHeight="1">
      <c r="A5" s="56" t="s">
        <v>22</v>
      </c>
      <c r="B5" s="55">
        <v>1</v>
      </c>
      <c r="C5" s="40">
        <f>'3.Хоз.блок'!D10</f>
        <v>592802</v>
      </c>
      <c r="IU5"/>
      <c r="IV5"/>
    </row>
    <row r="6" spans="1:256" ht="22.35" customHeight="1">
      <c r="A6" s="56" t="s">
        <v>23</v>
      </c>
      <c r="B6" s="55">
        <v>1</v>
      </c>
      <c r="C6" s="40">
        <f>'4.Кухня'!D21</f>
        <v>3910350</v>
      </c>
      <c r="IU6"/>
      <c r="IV6"/>
    </row>
    <row r="7" spans="1:256" ht="32.25" customHeight="1">
      <c r="A7" s="56" t="s">
        <v>24</v>
      </c>
      <c r="B7" s="55">
        <v>1</v>
      </c>
      <c r="C7" s="40">
        <f>'5.Балкон1'!D9</f>
        <v>329000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/>
      <c r="IV7"/>
    </row>
    <row r="8" spans="1:256" ht="22.35" customHeight="1">
      <c r="A8" s="56" t="s">
        <v>12</v>
      </c>
      <c r="B8" s="55">
        <v>1</v>
      </c>
      <c r="C8" s="40">
        <f>'6.Кабинет'!D19</f>
        <v>3432940</v>
      </c>
      <c r="IU8"/>
      <c r="IV8"/>
    </row>
    <row r="9" spans="1:256" ht="29.25" customHeight="1">
      <c r="A9" s="56" t="s">
        <v>7</v>
      </c>
      <c r="B9" s="55">
        <v>1</v>
      </c>
      <c r="C9" s="40">
        <f>'7.Ванная комната'!D21</f>
        <v>1763660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/>
      <c r="IV9"/>
    </row>
    <row r="10" spans="1:256" ht="29.25" customHeight="1">
      <c r="A10" s="56" t="s">
        <v>13</v>
      </c>
      <c r="B10" s="55">
        <v>1</v>
      </c>
      <c r="C10" s="40">
        <f>'8.Гардероб'!D6</f>
        <v>600000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/>
      <c r="IV10"/>
    </row>
    <row r="11" spans="1:256" ht="29.25" customHeight="1">
      <c r="A11" s="56" t="s">
        <v>4</v>
      </c>
      <c r="B11" s="55">
        <v>1</v>
      </c>
      <c r="C11" s="40">
        <f>'9.Спальня'!D19</f>
        <v>2673757.7999999998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/>
      <c r="IV11"/>
    </row>
    <row r="12" spans="1:256" ht="29.25" customHeight="1">
      <c r="A12" s="56" t="s">
        <v>25</v>
      </c>
      <c r="B12" s="55">
        <v>1</v>
      </c>
      <c r="C12" s="40">
        <f>'10.Детская'!D16</f>
        <v>1730696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/>
      <c r="IV12"/>
    </row>
    <row r="13" spans="1:256" ht="31.7" customHeight="1">
      <c r="A13" s="56" t="s">
        <v>26</v>
      </c>
      <c r="B13" s="55">
        <v>1</v>
      </c>
      <c r="C13" s="40">
        <f>'11.Балкон2'!D9</f>
        <v>578500</v>
      </c>
    </row>
    <row r="14" spans="1:256" ht="21.75" customHeight="1">
      <c r="A14" s="56" t="s">
        <v>27</v>
      </c>
      <c r="B14" s="55">
        <v>1</v>
      </c>
      <c r="C14" s="40">
        <f>'12.Детский су'!D20</f>
        <v>1131372</v>
      </c>
    </row>
    <row r="15" spans="1:256" ht="21.75" customHeight="1">
      <c r="A15" s="56" t="s">
        <v>28</v>
      </c>
      <c r="B15" s="55">
        <v>1</v>
      </c>
      <c r="C15" s="40">
        <f>'13.Коридор'!D7</f>
        <v>128700</v>
      </c>
    </row>
    <row r="16" spans="1:256" ht="57" customHeight="1">
      <c r="A16" s="56" t="s">
        <v>63</v>
      </c>
      <c r="B16" s="55" t="s">
        <v>398</v>
      </c>
      <c r="C16" s="40">
        <f>145.9*119*78</f>
        <v>1354243.8000000003</v>
      </c>
    </row>
    <row r="17" spans="1:8" ht="127.5">
      <c r="A17" s="157" t="s">
        <v>37</v>
      </c>
      <c r="B17" s="158" t="s">
        <v>282</v>
      </c>
      <c r="C17" s="113">
        <v>0</v>
      </c>
      <c r="D17" s="7" t="s">
        <v>91</v>
      </c>
      <c r="E17" s="5" t="s">
        <v>38</v>
      </c>
    </row>
    <row r="18" spans="1:8" ht="65.25" customHeight="1">
      <c r="A18" s="159" t="s">
        <v>39</v>
      </c>
      <c r="B18" s="158" t="s">
        <v>296</v>
      </c>
      <c r="C18" s="113">
        <v>0</v>
      </c>
      <c r="D18" s="1" t="s">
        <v>40</v>
      </c>
      <c r="E18" s="1" t="s">
        <v>41</v>
      </c>
      <c r="F18" s="5"/>
      <c r="G18" s="5"/>
      <c r="H18" s="5"/>
    </row>
    <row r="19" spans="1:8" ht="44.25" customHeight="1">
      <c r="A19" s="54" t="s">
        <v>42</v>
      </c>
      <c r="B19" s="55" t="s">
        <v>388</v>
      </c>
      <c r="C19" s="40">
        <v>90000</v>
      </c>
    </row>
    <row r="20" spans="1:8" ht="40.5" customHeight="1">
      <c r="A20" s="118" t="s">
        <v>3</v>
      </c>
      <c r="B20" s="119"/>
      <c r="C20" s="52">
        <f>SUM(C3:C19)</f>
        <v>24191346.600000001</v>
      </c>
    </row>
    <row r="25" spans="1:8" ht="31.7" customHeight="1"/>
  </sheetData>
  <mergeCells count="2">
    <mergeCell ref="A1:C1"/>
    <mergeCell ref="A20:B20"/>
  </mergeCells>
  <pageMargins left="0.70866141732283472" right="0.70866141732283472" top="0.74803149606299213" bottom="0.74803149606299213" header="0.31496062992125984" footer="0.31496062992125984"/>
  <pageSetup paperSize="9" scale="103" orientation="portrait" r:id="rId1"/>
  <headerFooter>
    <oddFooter>&amp;C&amp;"Avenir Next,Regular"&amp;10&amp;K000000&amp;P</oddFooter>
  </headerFooter>
  <colBreaks count="1" manualBreakCount="1">
    <brk id="3" max="19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0"/>
  <sheetViews>
    <sheetView showGridLines="0" view="pageBreakPreview" zoomScale="80" zoomScaleSheetLayoutView="80" workbookViewId="0">
      <pane ySplit="2" topLeftCell="A11" activePane="bottomLeft" state="frozen"/>
      <selection pane="bottomLeft" activeCell="E15" sqref="E15"/>
    </sheetView>
  </sheetViews>
  <sheetFormatPr defaultColWidth="20.42578125" defaultRowHeight="21.75" customHeight="1"/>
  <cols>
    <col min="1" max="2" width="20.42578125" style="13" customWidth="1"/>
    <col min="3" max="4" width="21.140625" style="13" customWidth="1"/>
    <col min="5" max="5" width="84" style="43" customWidth="1"/>
    <col min="6" max="6" width="21.140625" style="13" customWidth="1"/>
    <col min="7" max="257" width="20.42578125" style="13" customWidth="1"/>
    <col min="258" max="16384" width="20.42578125" style="14"/>
  </cols>
  <sheetData>
    <row r="1" spans="1:257" ht="30" customHeight="1">
      <c r="A1" s="120" t="s">
        <v>4</v>
      </c>
      <c r="B1" s="120"/>
      <c r="C1" s="120"/>
      <c r="D1" s="120"/>
      <c r="E1" s="42"/>
      <c r="F1" s="12"/>
    </row>
    <row r="2" spans="1:257" ht="23.85" customHeight="1">
      <c r="A2" s="15" t="s">
        <v>1</v>
      </c>
      <c r="B2" s="15" t="s">
        <v>5</v>
      </c>
      <c r="C2" s="15" t="s">
        <v>2</v>
      </c>
      <c r="D2" s="15" t="s">
        <v>294</v>
      </c>
      <c r="IV2" s="14"/>
      <c r="IW2" s="14"/>
    </row>
    <row r="3" spans="1:257" ht="59.25" customHeight="1">
      <c r="A3" s="65" t="s">
        <v>200</v>
      </c>
      <c r="B3" s="65" t="s">
        <v>209</v>
      </c>
      <c r="C3" s="69" t="s">
        <v>325</v>
      </c>
      <c r="D3" s="151">
        <v>790000</v>
      </c>
      <c r="E3" s="18" t="s">
        <v>208</v>
      </c>
      <c r="IV3" s="14"/>
      <c r="IW3" s="14"/>
    </row>
    <row r="4" spans="1:257" ht="56.25" customHeight="1">
      <c r="A4" s="65" t="s">
        <v>194</v>
      </c>
      <c r="B4" s="65" t="s">
        <v>376</v>
      </c>
      <c r="C4" s="69" t="s">
        <v>74</v>
      </c>
      <c r="D4" s="151">
        <f>2000*78</f>
        <v>156000</v>
      </c>
      <c r="E4" s="44" t="s">
        <v>201</v>
      </c>
      <c r="IV4" s="14"/>
      <c r="IW4" s="14"/>
    </row>
    <row r="5" spans="1:257" ht="52.5" customHeight="1">
      <c r="A5" s="65" t="s">
        <v>195</v>
      </c>
      <c r="B5" s="89" t="s">
        <v>57</v>
      </c>
      <c r="C5" s="69" t="s">
        <v>83</v>
      </c>
      <c r="D5" s="67">
        <v>90000</v>
      </c>
      <c r="IV5" s="14"/>
      <c r="IW5" s="14"/>
    </row>
    <row r="6" spans="1:257" ht="32.25" customHeight="1">
      <c r="A6" s="65" t="s">
        <v>167</v>
      </c>
      <c r="B6" s="65" t="s">
        <v>377</v>
      </c>
      <c r="C6" s="66" t="s">
        <v>356</v>
      </c>
      <c r="D6" s="152">
        <v>610000</v>
      </c>
      <c r="E6" s="44" t="s">
        <v>214</v>
      </c>
      <c r="IV6" s="14"/>
      <c r="IW6" s="14"/>
    </row>
    <row r="7" spans="1:257" ht="31.5" customHeight="1">
      <c r="A7" s="65" t="s">
        <v>196</v>
      </c>
      <c r="B7" s="65" t="s">
        <v>363</v>
      </c>
      <c r="C7" s="93" t="s">
        <v>302</v>
      </c>
      <c r="D7" s="66">
        <v>70000</v>
      </c>
      <c r="IV7" s="14"/>
      <c r="IW7" s="14"/>
    </row>
    <row r="8" spans="1:257" ht="33.75" customHeight="1">
      <c r="A8" s="65" t="s">
        <v>197</v>
      </c>
      <c r="B8" s="65" t="s">
        <v>57</v>
      </c>
      <c r="C8" s="66" t="s">
        <v>324</v>
      </c>
      <c r="D8" s="66">
        <v>120000</v>
      </c>
      <c r="E8" s="44"/>
      <c r="IV8" s="14"/>
      <c r="IW8" s="14"/>
    </row>
    <row r="9" spans="1:257" ht="28.5" customHeight="1">
      <c r="A9" s="65" t="s">
        <v>198</v>
      </c>
      <c r="B9" s="65" t="s">
        <v>203</v>
      </c>
      <c r="C9" s="93" t="s">
        <v>391</v>
      </c>
      <c r="D9" s="69">
        <v>43200</v>
      </c>
      <c r="IV9" s="14"/>
      <c r="IW9" s="14"/>
    </row>
    <row r="10" spans="1:257" ht="33.75" customHeight="1">
      <c r="A10" s="65" t="s">
        <v>43</v>
      </c>
      <c r="B10" s="65" t="s">
        <v>78</v>
      </c>
      <c r="C10" s="69" t="s">
        <v>215</v>
      </c>
      <c r="D10" s="69">
        <f>8*50*78</f>
        <v>31200</v>
      </c>
      <c r="E10" s="81" t="s">
        <v>76</v>
      </c>
      <c r="F10" s="8"/>
      <c r="IV10" s="14"/>
      <c r="IW10" s="14"/>
    </row>
    <row r="11" spans="1:257" ht="68.25" customHeight="1">
      <c r="A11" s="65" t="s">
        <v>199</v>
      </c>
      <c r="B11" s="65" t="s">
        <v>378</v>
      </c>
      <c r="C11" s="93" t="s">
        <v>320</v>
      </c>
      <c r="D11" s="69">
        <f>9.8*3500</f>
        <v>34300</v>
      </c>
      <c r="E11" s="44" t="s">
        <v>216</v>
      </c>
      <c r="IV11" s="14"/>
      <c r="IW11" s="14"/>
    </row>
    <row r="12" spans="1:257" ht="22.5">
      <c r="A12" s="65" t="s">
        <v>202</v>
      </c>
      <c r="B12" s="65" t="s">
        <v>379</v>
      </c>
      <c r="C12" s="93" t="s">
        <v>356</v>
      </c>
      <c r="D12" s="69">
        <v>60000</v>
      </c>
      <c r="E12" s="44" t="s">
        <v>219</v>
      </c>
      <c r="IV12" s="14"/>
      <c r="IW12" s="14"/>
    </row>
    <row r="13" spans="1:257" ht="12.75">
      <c r="A13" s="65" t="s">
        <v>163</v>
      </c>
      <c r="B13" s="65" t="s">
        <v>220</v>
      </c>
      <c r="C13" s="93" t="s">
        <v>356</v>
      </c>
      <c r="D13" s="69">
        <v>35000</v>
      </c>
      <c r="IV13" s="14"/>
      <c r="IW13" s="14"/>
    </row>
    <row r="14" spans="1:257" ht="12.75">
      <c r="A14" s="65" t="s">
        <v>204</v>
      </c>
      <c r="B14" s="65" t="s">
        <v>380</v>
      </c>
      <c r="C14" s="93" t="s">
        <v>356</v>
      </c>
      <c r="D14" s="69">
        <f>1200*66</f>
        <v>79200</v>
      </c>
      <c r="E14" s="18" t="s">
        <v>211</v>
      </c>
      <c r="IV14" s="14"/>
      <c r="IW14" s="14"/>
    </row>
    <row r="15" spans="1:257" ht="67.5">
      <c r="A15" s="65" t="s">
        <v>205</v>
      </c>
      <c r="B15" s="65"/>
      <c r="C15" s="69" t="s">
        <v>66</v>
      </c>
      <c r="D15" s="154">
        <f>2*80000</f>
        <v>160000</v>
      </c>
      <c r="E15" s="43" t="s">
        <v>206</v>
      </c>
      <c r="IV15" s="14"/>
      <c r="IW15" s="14"/>
    </row>
    <row r="16" spans="1:257" ht="69.75" customHeight="1">
      <c r="A16" s="65" t="s">
        <v>207</v>
      </c>
      <c r="B16" s="65" t="s">
        <v>218</v>
      </c>
      <c r="C16" s="69" t="s">
        <v>121</v>
      </c>
      <c r="D16" s="154">
        <f>4*65000</f>
        <v>260000</v>
      </c>
      <c r="E16" s="44" t="s">
        <v>217</v>
      </c>
    </row>
    <row r="17" spans="1:5" ht="66.75" customHeight="1">
      <c r="A17" s="65" t="s">
        <v>210</v>
      </c>
      <c r="B17" s="65"/>
      <c r="C17" s="69" t="s">
        <v>213</v>
      </c>
      <c r="D17" s="69">
        <f>10703*12.6</f>
        <v>134857.79999999999</v>
      </c>
      <c r="E17" s="44" t="s">
        <v>212</v>
      </c>
    </row>
    <row r="18" spans="1:5" ht="21.75" customHeight="1">
      <c r="A18" s="65" t="s">
        <v>6</v>
      </c>
      <c r="B18" s="65" t="s">
        <v>9</v>
      </c>
      <c r="C18" s="108"/>
      <c r="D18" s="108">
        <v>0</v>
      </c>
    </row>
    <row r="19" spans="1:5" ht="24" customHeight="1">
      <c r="A19" s="140" t="s">
        <v>307</v>
      </c>
      <c r="B19" s="141"/>
      <c r="C19" s="142"/>
      <c r="D19" s="92">
        <f>SUM(D3:D18)</f>
        <v>2673757.7999999998</v>
      </c>
    </row>
    <row r="20" spans="1:5" ht="21.75" customHeight="1">
      <c r="B20" s="20"/>
    </row>
  </sheetData>
  <mergeCells count="2">
    <mergeCell ref="A1:D1"/>
    <mergeCell ref="A19:C19"/>
  </mergeCells>
  <hyperlinks>
    <hyperlink ref="E4" r:id="rId1"/>
    <hyperlink ref="E14" r:id="rId2"/>
    <hyperlink ref="E17" r:id="rId3"/>
    <hyperlink ref="E6" r:id="rId4"/>
    <hyperlink ref="E10" r:id="rId5"/>
    <hyperlink ref="E11" r:id="rId6"/>
    <hyperlink ref="E16" r:id="rId7" location="image-1"/>
    <hyperlink ref="E12" r:id="rId8"/>
    <hyperlink ref="E3" r:id="rId9"/>
  </hyperlinks>
  <pageMargins left="0.98425196850393704" right="0.98425196850393704" top="0.98425196850393704" bottom="0.98425196850393704" header="0.23622047244094491" footer="0.23622047244094491"/>
  <pageSetup paperSize="9" scale="70" orientation="portrait" r:id="rId10"/>
  <headerFooter>
    <oddFooter>&amp;C&amp;"Avenir Next,Regular"&amp;10&amp;K000000&amp;P</oddFooter>
  </headerFooter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7"/>
  <sheetViews>
    <sheetView showGridLines="0" view="pageBreakPreview" zoomScaleSheetLayoutView="100" workbookViewId="0">
      <pane ySplit="2" topLeftCell="A10" activePane="bottomLeft" state="frozen"/>
      <selection pane="bottomLeft" activeCell="E15" sqref="E15"/>
    </sheetView>
  </sheetViews>
  <sheetFormatPr defaultColWidth="20.42578125" defaultRowHeight="21.75" customHeight="1"/>
  <cols>
    <col min="1" max="2" width="20.42578125" style="101" customWidth="1"/>
    <col min="3" max="4" width="21.140625" style="101" customWidth="1"/>
    <col min="5" max="5" width="52.7109375" style="43" customWidth="1"/>
    <col min="6" max="6" width="21.140625" style="13" customWidth="1"/>
    <col min="7" max="257" width="20.42578125" style="13" customWidth="1"/>
    <col min="258" max="16384" width="20.42578125" style="14"/>
  </cols>
  <sheetData>
    <row r="1" spans="1:257" ht="30" customHeight="1">
      <c r="A1" s="143" t="s">
        <v>25</v>
      </c>
      <c r="B1" s="143"/>
      <c r="C1" s="143"/>
      <c r="D1" s="143"/>
      <c r="E1" s="42"/>
      <c r="F1" s="12"/>
    </row>
    <row r="2" spans="1:257" ht="23.85" customHeight="1">
      <c r="A2" s="99" t="s">
        <v>1</v>
      </c>
      <c r="B2" s="99" t="s">
        <v>5</v>
      </c>
      <c r="C2" s="99" t="s">
        <v>2</v>
      </c>
      <c r="D2" s="99"/>
      <c r="IV2" s="14"/>
      <c r="IW2" s="14"/>
    </row>
    <row r="3" spans="1:257" ht="69" customHeight="1">
      <c r="A3" s="58" t="s">
        <v>221</v>
      </c>
      <c r="B3" s="58" t="s">
        <v>326</v>
      </c>
      <c r="C3" s="59">
        <v>1</v>
      </c>
      <c r="D3" s="60">
        <v>200000</v>
      </c>
      <c r="E3" s="44"/>
      <c r="IV3" s="14"/>
      <c r="IW3" s="14"/>
    </row>
    <row r="4" spans="1:257" ht="37.5" customHeight="1">
      <c r="A4" s="58" t="s">
        <v>222</v>
      </c>
      <c r="B4" s="58" t="s">
        <v>57</v>
      </c>
      <c r="C4" s="59" t="s">
        <v>327</v>
      </c>
      <c r="D4" s="60">
        <v>180000</v>
      </c>
      <c r="E4" s="43" t="s">
        <v>231</v>
      </c>
      <c r="IV4" s="14"/>
      <c r="IW4" s="14"/>
    </row>
    <row r="5" spans="1:257" ht="39.950000000000003" customHeight="1">
      <c r="A5" s="58" t="s">
        <v>223</v>
      </c>
      <c r="B5" s="58" t="s">
        <v>57</v>
      </c>
      <c r="C5" s="59" t="s">
        <v>329</v>
      </c>
      <c r="D5" s="60">
        <v>466000</v>
      </c>
      <c r="E5" s="44"/>
      <c r="IV5" s="14"/>
      <c r="IW5" s="14"/>
    </row>
    <row r="6" spans="1:257" ht="12.75">
      <c r="A6" s="58" t="s">
        <v>122</v>
      </c>
      <c r="B6" s="58"/>
      <c r="C6" s="72" t="s">
        <v>393</v>
      </c>
      <c r="D6" s="62">
        <f>25000*2</f>
        <v>50000</v>
      </c>
      <c r="E6" s="44" t="s">
        <v>256</v>
      </c>
      <c r="IV6" s="14"/>
      <c r="IW6" s="14"/>
    </row>
    <row r="7" spans="1:257" s="29" customFormat="1" ht="41.25" customHeight="1">
      <c r="A7" s="58" t="s">
        <v>224</v>
      </c>
      <c r="B7" s="61" t="s">
        <v>57</v>
      </c>
      <c r="C7" s="60" t="s">
        <v>83</v>
      </c>
      <c r="D7" s="62">
        <v>60000</v>
      </c>
      <c r="E7" s="44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7" ht="42.75" customHeight="1">
      <c r="A8" s="61" t="s">
        <v>225</v>
      </c>
      <c r="B8" s="61"/>
      <c r="C8" s="59" t="s">
        <v>237</v>
      </c>
      <c r="D8" s="60">
        <v>4176</v>
      </c>
      <c r="E8" s="46"/>
      <c r="IV8" s="14"/>
      <c r="IW8" s="14"/>
    </row>
    <row r="9" spans="1:257" ht="38.25">
      <c r="A9" s="58" t="s">
        <v>226</v>
      </c>
      <c r="B9" s="58" t="s">
        <v>57</v>
      </c>
      <c r="C9" s="72" t="s">
        <v>328</v>
      </c>
      <c r="D9" s="60">
        <v>250000</v>
      </c>
      <c r="E9" s="44"/>
      <c r="IV9" s="14"/>
      <c r="IW9" s="14"/>
    </row>
    <row r="10" spans="1:257" ht="24.75" customHeight="1">
      <c r="A10" s="58" t="s">
        <v>227</v>
      </c>
      <c r="B10" s="58" t="s">
        <v>293</v>
      </c>
      <c r="C10" s="72">
        <v>2</v>
      </c>
      <c r="D10" s="60">
        <f>2*20000</f>
        <v>40000</v>
      </c>
      <c r="E10" s="44"/>
      <c r="IV10" s="14"/>
      <c r="IW10" s="14"/>
    </row>
    <row r="11" spans="1:257" ht="57.75" customHeight="1">
      <c r="A11" s="58" t="s">
        <v>228</v>
      </c>
      <c r="B11" s="61"/>
      <c r="C11" s="59">
        <v>14</v>
      </c>
      <c r="D11" s="60">
        <f>60*14*78</f>
        <v>65520</v>
      </c>
      <c r="E11" s="44" t="s">
        <v>252</v>
      </c>
      <c r="IV11" s="14"/>
      <c r="IW11" s="14"/>
    </row>
    <row r="12" spans="1:257" ht="32.25" customHeight="1">
      <c r="A12" s="58" t="s">
        <v>229</v>
      </c>
      <c r="B12" s="58"/>
      <c r="C12" s="72" t="s">
        <v>392</v>
      </c>
      <c r="D12" s="62">
        <f>2*35000</f>
        <v>70000</v>
      </c>
      <c r="E12" s="44"/>
      <c r="IV12" s="14"/>
      <c r="IW12" s="14"/>
    </row>
    <row r="13" spans="1:257" ht="30" customHeight="1">
      <c r="A13" s="58" t="s">
        <v>230</v>
      </c>
      <c r="B13" s="58" t="s">
        <v>57</v>
      </c>
      <c r="C13" s="102" t="s">
        <v>363</v>
      </c>
      <c r="D13" s="60">
        <v>120000</v>
      </c>
      <c r="E13" s="44"/>
      <c r="IV13" s="14"/>
      <c r="IW13" s="14"/>
    </row>
    <row r="14" spans="1:257" ht="22.35" customHeight="1">
      <c r="A14" s="58" t="s">
        <v>6</v>
      </c>
      <c r="B14" s="58"/>
      <c r="C14" s="59" t="s">
        <v>238</v>
      </c>
      <c r="D14" s="62">
        <v>0</v>
      </c>
      <c r="E14" s="44"/>
      <c r="IV14" s="14"/>
      <c r="IW14" s="14"/>
    </row>
    <row r="15" spans="1:257" ht="32.25" customHeight="1">
      <c r="A15" s="58" t="s">
        <v>232</v>
      </c>
      <c r="B15" s="58"/>
      <c r="C15" s="62" t="s">
        <v>330</v>
      </c>
      <c r="D15" s="62">
        <f>5*45000</f>
        <v>225000</v>
      </c>
      <c r="E15" s="44" t="s">
        <v>255</v>
      </c>
      <c r="F15" s="13" t="s">
        <v>331</v>
      </c>
      <c r="IV15" s="14"/>
      <c r="IW15" s="14"/>
    </row>
    <row r="16" spans="1:257" ht="22.35" customHeight="1">
      <c r="A16" s="144" t="s">
        <v>299</v>
      </c>
      <c r="B16" s="145"/>
      <c r="C16" s="146"/>
      <c r="D16" s="100">
        <f>SUM(D3:D15)</f>
        <v>1730696</v>
      </c>
      <c r="IV16" s="14"/>
      <c r="IW16" s="14"/>
    </row>
    <row r="17" ht="22.35" customHeight="1"/>
  </sheetData>
  <mergeCells count="2">
    <mergeCell ref="A1:D1"/>
    <mergeCell ref="A16:C16"/>
  </mergeCells>
  <hyperlinks>
    <hyperlink ref="E11" r:id="rId1"/>
    <hyperlink ref="E15" r:id="rId2"/>
    <hyperlink ref="E6" r:id="rId3" location="pdfviewer"/>
  </hyperlinks>
  <pageMargins left="0.98425196850393704" right="0.98425196850393704" top="0.98425196850393704" bottom="0.98425196850393704" header="0.23622047244094491" footer="0.23622047244094491"/>
  <pageSetup paperSize="9" scale="98" orientation="portrait" r:id="rId4"/>
  <headerFooter>
    <oddFooter>&amp;C&amp;"Avenir Next,Regular"&amp;10&amp;K000000&amp;P</oddFooter>
  </headerFooter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1"/>
  <sheetViews>
    <sheetView showGridLines="0" view="pageBreakPreview" zoomScaleSheetLayoutView="100" workbookViewId="0">
      <pane ySplit="2" topLeftCell="A3" activePane="bottomLeft" state="frozen"/>
      <selection pane="bottomLeft" activeCell="G7" sqref="G7"/>
    </sheetView>
  </sheetViews>
  <sheetFormatPr defaultColWidth="20.42578125" defaultRowHeight="21.75" customHeight="1"/>
  <cols>
    <col min="1" max="2" width="20.42578125" style="13" customWidth="1"/>
    <col min="3" max="3" width="21.140625" style="23" customWidth="1"/>
    <col min="4" max="4" width="21.140625" style="13" customWidth="1"/>
    <col min="5" max="5" width="27.140625" style="13" customWidth="1"/>
    <col min="6" max="6" width="21.140625" style="13" customWidth="1"/>
    <col min="7" max="257" width="20.42578125" style="13" customWidth="1"/>
    <col min="258" max="16384" width="20.42578125" style="14"/>
  </cols>
  <sheetData>
    <row r="1" spans="1:257" ht="30" customHeight="1">
      <c r="A1" s="124" t="s">
        <v>26</v>
      </c>
      <c r="B1" s="124"/>
      <c r="C1" s="124"/>
      <c r="D1" s="124"/>
      <c r="E1" s="12"/>
      <c r="F1" s="12"/>
    </row>
    <row r="2" spans="1:257" ht="33.75" customHeight="1">
      <c r="A2" s="41" t="s">
        <v>1</v>
      </c>
      <c r="B2" s="41" t="s">
        <v>5</v>
      </c>
      <c r="C2" s="41" t="s">
        <v>2</v>
      </c>
      <c r="D2" s="41"/>
      <c r="IV2" s="14"/>
      <c r="IW2" s="14"/>
    </row>
    <row r="3" spans="1:257" ht="25.5">
      <c r="A3" s="16" t="s">
        <v>149</v>
      </c>
      <c r="B3" s="16" t="s">
        <v>151</v>
      </c>
      <c r="C3" s="17" t="s">
        <v>236</v>
      </c>
      <c r="D3" s="17">
        <f>7500*5.8</f>
        <v>43500</v>
      </c>
      <c r="E3" s="36"/>
      <c r="IV3" s="14"/>
      <c r="IW3" s="14"/>
    </row>
    <row r="4" spans="1:257" ht="25.5">
      <c r="A4" s="16" t="s">
        <v>123</v>
      </c>
      <c r="B4" s="16" t="s">
        <v>124</v>
      </c>
      <c r="C4" s="47" t="s">
        <v>233</v>
      </c>
      <c r="D4" s="50">
        <v>250000</v>
      </c>
      <c r="E4" s="49" t="s">
        <v>140</v>
      </c>
      <c r="F4" s="36"/>
      <c r="IV4" s="14"/>
      <c r="IW4" s="14"/>
    </row>
    <row r="5" spans="1:257" ht="63.75">
      <c r="A5" s="16" t="s">
        <v>234</v>
      </c>
      <c r="B5" s="16" t="s">
        <v>382</v>
      </c>
      <c r="C5" s="47" t="s">
        <v>295</v>
      </c>
      <c r="D5" s="50">
        <v>160000</v>
      </c>
      <c r="E5" s="39"/>
      <c r="F5" s="37"/>
      <c r="IV5" s="14"/>
      <c r="IW5" s="14"/>
    </row>
    <row r="6" spans="1:257" ht="41.25" customHeight="1">
      <c r="A6" s="16" t="s">
        <v>154</v>
      </c>
      <c r="B6" s="16"/>
      <c r="C6" s="72" t="s">
        <v>356</v>
      </c>
      <c r="D6" s="62">
        <v>25000</v>
      </c>
      <c r="E6" s="36"/>
      <c r="IV6" s="14"/>
      <c r="IW6" s="14"/>
    </row>
    <row r="7" spans="1:257" s="29" customFormat="1" ht="41.25" customHeight="1">
      <c r="A7" s="48" t="s">
        <v>235</v>
      </c>
      <c r="B7" s="16"/>
      <c r="C7" s="72" t="s">
        <v>330</v>
      </c>
      <c r="D7" s="62">
        <f>20000*5</f>
        <v>100000</v>
      </c>
      <c r="E7" s="33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7" ht="42.75" customHeight="1">
      <c r="A8" s="16" t="s">
        <v>6</v>
      </c>
      <c r="B8" s="48"/>
      <c r="C8" s="112" t="s">
        <v>239</v>
      </c>
      <c r="D8" s="113">
        <v>0</v>
      </c>
      <c r="E8" s="34"/>
      <c r="IV8" s="14"/>
      <c r="IW8" s="14"/>
    </row>
    <row r="9" spans="1:257" ht="24.75" customHeight="1">
      <c r="A9" s="128" t="s">
        <v>3</v>
      </c>
      <c r="B9" s="129"/>
      <c r="C9" s="130"/>
      <c r="D9" s="21">
        <f>SUM(D3:D8)</f>
        <v>578500</v>
      </c>
      <c r="IV9" s="14"/>
      <c r="IW9" s="14"/>
    </row>
    <row r="10" spans="1:257" ht="32.25" customHeight="1">
      <c r="IV10" s="14"/>
      <c r="IW10" s="14"/>
    </row>
    <row r="11" spans="1:257" ht="23.25" customHeight="1">
      <c r="IV11" s="14"/>
      <c r="IW11" s="14"/>
    </row>
    <row r="12" spans="1:257" ht="22.35" customHeight="1">
      <c r="IV12" s="14"/>
      <c r="IW12" s="14"/>
    </row>
    <row r="13" spans="1:257" ht="22.35" customHeight="1">
      <c r="IV13" s="14"/>
      <c r="IW13" s="14"/>
    </row>
    <row r="14" spans="1:257" ht="22.35" customHeight="1">
      <c r="IV14" s="14"/>
      <c r="IW14" s="14"/>
    </row>
    <row r="15" spans="1:257" ht="22.35" customHeight="1">
      <c r="IV15" s="14"/>
      <c r="IW15" s="14"/>
    </row>
    <row r="16" spans="1:257" ht="22.35" customHeight="1">
      <c r="IV16" s="14"/>
      <c r="IW16" s="14"/>
    </row>
    <row r="17" spans="256:257" ht="22.35" customHeight="1">
      <c r="IV17" s="14"/>
      <c r="IW17" s="14"/>
    </row>
    <row r="18" spans="256:257" ht="22.35" customHeight="1">
      <c r="IV18" s="14"/>
      <c r="IW18" s="14"/>
    </row>
    <row r="19" spans="256:257" ht="22.35" customHeight="1">
      <c r="IV19" s="14"/>
      <c r="IW19" s="14"/>
    </row>
    <row r="21" spans="256:257" ht="22.35" customHeight="1"/>
  </sheetData>
  <mergeCells count="2">
    <mergeCell ref="A1:D1"/>
    <mergeCell ref="A9:C9"/>
  </mergeCells>
  <hyperlinks>
    <hyperlink ref="E4" r:id="rId1"/>
  </hyperlinks>
  <pageMargins left="0.98425196850393704" right="0.98425196850393704" top="0.98425196850393704" bottom="0.98425196850393704" header="0.23622047244094491" footer="0.23622047244094491"/>
  <pageSetup paperSize="9" scale="98" orientation="portrait" r:id="rId2"/>
  <headerFooter>
    <oddFooter>&amp;C&amp;"Avenir Next,Regular"&amp;10&amp;K000000&amp;P</oddFooter>
  </headerFooter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2"/>
  <sheetViews>
    <sheetView showGridLines="0" view="pageBreakPreview" zoomScale="90" zoomScaleSheetLayoutView="90" workbookViewId="0">
      <pane ySplit="2" topLeftCell="A3" activePane="bottomLeft" state="frozen"/>
      <selection pane="bottomLeft" activeCell="E5" sqref="E5"/>
    </sheetView>
  </sheetViews>
  <sheetFormatPr defaultColWidth="20.42578125" defaultRowHeight="21.75" customHeight="1"/>
  <cols>
    <col min="1" max="1" width="20.42578125" style="13" customWidth="1"/>
    <col min="2" max="2" width="24.42578125" style="13" customWidth="1"/>
    <col min="3" max="3" width="21.140625" style="23" customWidth="1"/>
    <col min="4" max="4" width="21.140625" style="13" customWidth="1"/>
    <col min="5" max="5" width="60.85546875" style="43" customWidth="1"/>
    <col min="6" max="6" width="21.140625" style="13" customWidth="1"/>
    <col min="7" max="257" width="20.42578125" style="13" customWidth="1"/>
    <col min="258" max="16384" width="20.42578125" style="14"/>
  </cols>
  <sheetData>
    <row r="1" spans="1:257" ht="30" customHeight="1">
      <c r="A1" s="124" t="s">
        <v>257</v>
      </c>
      <c r="B1" s="124"/>
      <c r="C1" s="124"/>
      <c r="D1" s="124"/>
      <c r="E1" s="42"/>
      <c r="F1" s="12"/>
    </row>
    <row r="2" spans="1:257" ht="23.85" customHeight="1">
      <c r="A2" s="41" t="s">
        <v>1</v>
      </c>
      <c r="B2" s="41" t="s">
        <v>5</v>
      </c>
      <c r="C2" s="41" t="s">
        <v>2</v>
      </c>
      <c r="D2" s="41" t="s">
        <v>294</v>
      </c>
      <c r="IV2" s="14"/>
      <c r="IW2" s="14"/>
    </row>
    <row r="3" spans="1:257" ht="25.5">
      <c r="A3" s="58" t="s">
        <v>170</v>
      </c>
      <c r="B3" s="58" t="s">
        <v>333</v>
      </c>
      <c r="C3" s="59" t="s">
        <v>334</v>
      </c>
      <c r="D3" s="60">
        <f>4500*5</f>
        <v>22500</v>
      </c>
      <c r="E3" s="44"/>
      <c r="IV3" s="14"/>
      <c r="IW3" s="14"/>
    </row>
    <row r="4" spans="1:257" ht="25.5">
      <c r="A4" s="58" t="s">
        <v>297</v>
      </c>
      <c r="B4" s="58" t="s">
        <v>337</v>
      </c>
      <c r="C4" s="59" t="s">
        <v>336</v>
      </c>
      <c r="D4" s="60">
        <f>4400*4.2</f>
        <v>18480</v>
      </c>
      <c r="E4" s="18" t="s">
        <v>335</v>
      </c>
      <c r="IV4" s="14"/>
      <c r="IW4" s="14"/>
    </row>
    <row r="5" spans="1:257" ht="12.75">
      <c r="A5" s="58" t="s">
        <v>338</v>
      </c>
      <c r="B5" s="58" t="s">
        <v>339</v>
      </c>
      <c r="C5" s="59" t="s">
        <v>340</v>
      </c>
      <c r="D5" s="60">
        <f>5200*18.9</f>
        <v>98279.999999999985</v>
      </c>
      <c r="E5" s="45"/>
      <c r="IV5" s="14"/>
      <c r="IW5" s="14"/>
    </row>
    <row r="6" spans="1:257" ht="25.5">
      <c r="A6" s="58" t="s">
        <v>240</v>
      </c>
      <c r="B6" s="58" t="s">
        <v>384</v>
      </c>
      <c r="C6" s="59" t="s">
        <v>259</v>
      </c>
      <c r="D6" s="155">
        <v>150000</v>
      </c>
      <c r="E6" s="18" t="s">
        <v>258</v>
      </c>
      <c r="IV6" s="14"/>
      <c r="IW6" s="14"/>
    </row>
    <row r="7" spans="1:257" s="29" customFormat="1" ht="35.25" customHeight="1">
      <c r="A7" s="61" t="s">
        <v>241</v>
      </c>
      <c r="B7" s="58" t="s">
        <v>390</v>
      </c>
      <c r="C7" s="59" t="s">
        <v>53</v>
      </c>
      <c r="D7" s="62">
        <f>552*78*2</f>
        <v>86112</v>
      </c>
      <c r="E7" s="44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7" ht="42.75" customHeight="1">
      <c r="A8" s="58" t="s">
        <v>261</v>
      </c>
      <c r="B8" s="58" t="s">
        <v>57</v>
      </c>
      <c r="C8" s="60" t="s">
        <v>260</v>
      </c>
      <c r="D8" s="62">
        <v>70000</v>
      </c>
      <c r="E8" s="46"/>
      <c r="IV8" s="14"/>
      <c r="IW8" s="14"/>
    </row>
    <row r="9" spans="1:257" ht="38.25" customHeight="1">
      <c r="A9" s="61" t="s">
        <v>242</v>
      </c>
      <c r="B9" s="58" t="s">
        <v>363</v>
      </c>
      <c r="C9" s="60" t="s">
        <v>262</v>
      </c>
      <c r="D9" s="62">
        <v>70000</v>
      </c>
      <c r="E9" s="44"/>
      <c r="IV9" s="14"/>
      <c r="IW9" s="14"/>
    </row>
    <row r="10" spans="1:257" ht="42" customHeight="1">
      <c r="A10" s="58" t="s">
        <v>387</v>
      </c>
      <c r="B10" s="58" t="s">
        <v>57</v>
      </c>
      <c r="C10" s="60" t="s">
        <v>251</v>
      </c>
      <c r="D10" s="62">
        <v>43000</v>
      </c>
      <c r="E10" s="44"/>
      <c r="F10" s="36"/>
      <c r="IV10" s="14"/>
      <c r="IW10" s="14"/>
    </row>
    <row r="11" spans="1:257" ht="42" customHeight="1">
      <c r="A11" s="103" t="s">
        <v>385</v>
      </c>
      <c r="B11" s="58" t="s">
        <v>57</v>
      </c>
      <c r="C11" s="88" t="s">
        <v>386</v>
      </c>
      <c r="D11" s="105">
        <v>0</v>
      </c>
      <c r="E11" s="44"/>
      <c r="F11" s="36"/>
      <c r="IV11" s="14"/>
      <c r="IW11" s="14"/>
    </row>
    <row r="12" spans="1:257" ht="24.75" customHeight="1">
      <c r="A12" s="58" t="s">
        <v>243</v>
      </c>
      <c r="B12" s="58" t="s">
        <v>269</v>
      </c>
      <c r="C12" s="72">
        <v>1</v>
      </c>
      <c r="D12" s="60">
        <v>40000</v>
      </c>
      <c r="E12" s="44"/>
      <c r="F12" s="36"/>
      <c r="IV12" s="14"/>
      <c r="IW12" s="14"/>
    </row>
    <row r="13" spans="1:257" ht="24.75" customHeight="1">
      <c r="A13" s="58" t="s">
        <v>244</v>
      </c>
      <c r="B13" s="58" t="s">
        <v>267</v>
      </c>
      <c r="C13" s="72">
        <v>1</v>
      </c>
      <c r="D13" s="60">
        <v>50000</v>
      </c>
      <c r="E13" s="43" t="s">
        <v>332</v>
      </c>
      <c r="IV13" s="14"/>
      <c r="IW13" s="14"/>
    </row>
    <row r="14" spans="1:257" ht="23.25" customHeight="1">
      <c r="A14" s="58" t="s">
        <v>11</v>
      </c>
      <c r="B14" s="58" t="s">
        <v>266</v>
      </c>
      <c r="C14" s="59">
        <v>1</v>
      </c>
      <c r="D14" s="156">
        <v>50000</v>
      </c>
      <c r="E14" s="44"/>
      <c r="IV14" s="14"/>
      <c r="IW14" s="14"/>
    </row>
    <row r="15" spans="1:257" ht="45" customHeight="1">
      <c r="A15" s="58" t="s">
        <v>245</v>
      </c>
      <c r="B15" s="58" t="s">
        <v>266</v>
      </c>
      <c r="C15" s="59">
        <v>2</v>
      </c>
      <c r="D15" s="156">
        <f>2*60000</f>
        <v>120000</v>
      </c>
      <c r="E15" s="18" t="s">
        <v>265</v>
      </c>
      <c r="IV15" s="14"/>
      <c r="IW15" s="14"/>
    </row>
    <row r="16" spans="1:257" ht="22.35" customHeight="1">
      <c r="A16" s="58" t="s">
        <v>246</v>
      </c>
      <c r="B16" s="58" t="s">
        <v>266</v>
      </c>
      <c r="C16" s="59">
        <v>1</v>
      </c>
      <c r="D16" s="156">
        <v>130000</v>
      </c>
      <c r="IV16" s="14"/>
      <c r="IW16" s="14"/>
    </row>
    <row r="17" spans="1:257" ht="26.25" customHeight="1">
      <c r="A17" s="58" t="s">
        <v>247</v>
      </c>
      <c r="B17" s="58" t="s">
        <v>266</v>
      </c>
      <c r="C17" s="59" t="s">
        <v>356</v>
      </c>
      <c r="D17" s="156">
        <v>140000</v>
      </c>
      <c r="IV17" s="14"/>
      <c r="IW17" s="14"/>
    </row>
    <row r="18" spans="1:257" ht="28.5" customHeight="1">
      <c r="A18" s="58" t="s">
        <v>250</v>
      </c>
      <c r="B18" s="58" t="s">
        <v>268</v>
      </c>
      <c r="C18" s="59">
        <v>1</v>
      </c>
      <c r="D18" s="62">
        <v>15000</v>
      </c>
      <c r="IV18" s="14"/>
      <c r="IW18" s="14"/>
    </row>
    <row r="19" spans="1:257" ht="27" customHeight="1">
      <c r="A19" s="58" t="s">
        <v>263</v>
      </c>
      <c r="B19" s="58" t="s">
        <v>264</v>
      </c>
      <c r="C19" s="72" t="s">
        <v>394</v>
      </c>
      <c r="D19" s="62">
        <f>4*7000</f>
        <v>28000</v>
      </c>
      <c r="IV19" s="14"/>
      <c r="IW19" s="14"/>
    </row>
    <row r="20" spans="1:257" ht="22.35" customHeight="1">
      <c r="A20" s="147" t="s">
        <v>3</v>
      </c>
      <c r="B20" s="148"/>
      <c r="C20" s="149"/>
      <c r="D20" s="64">
        <f>SUM(D3:D19)</f>
        <v>1131372</v>
      </c>
      <c r="IV20" s="14"/>
      <c r="IW20" s="14"/>
    </row>
    <row r="22" spans="1:257" ht="22.35" customHeight="1"/>
  </sheetData>
  <mergeCells count="2">
    <mergeCell ref="A1:D1"/>
    <mergeCell ref="A20:C20"/>
  </mergeCells>
  <hyperlinks>
    <hyperlink ref="E6" r:id="rId1"/>
    <hyperlink ref="E15" r:id="rId2"/>
    <hyperlink ref="E4" r:id="rId3"/>
  </hyperlinks>
  <pageMargins left="0.98425196850393704" right="0.98425196850393704" top="0.98425196850393704" bottom="0.98425196850393704" header="0.23622047244094491" footer="0.23622047244094491"/>
  <pageSetup paperSize="9" scale="86" orientation="portrait" r:id="rId4"/>
  <headerFooter>
    <oddFooter>&amp;C&amp;"Avenir Next,Regular"&amp;10&amp;K000000&amp;P</oddFooter>
  </headerFooter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8"/>
  <sheetViews>
    <sheetView showGridLines="0" view="pageBreakPreview" zoomScaleSheetLayoutView="100" workbookViewId="0">
      <pane ySplit="2" topLeftCell="A3" activePane="bottomLeft" state="frozen"/>
      <selection pane="bottomLeft" activeCell="E11" sqref="E11"/>
    </sheetView>
  </sheetViews>
  <sheetFormatPr defaultColWidth="20.42578125" defaultRowHeight="21.75" customHeight="1"/>
  <cols>
    <col min="1" max="2" width="20.42578125" style="13" customWidth="1"/>
    <col min="3" max="3" width="21.140625" style="23" customWidth="1"/>
    <col min="4" max="4" width="21.140625" style="13" customWidth="1"/>
    <col min="5" max="5" width="27.140625" style="13" customWidth="1"/>
    <col min="6" max="6" width="21.140625" style="13" customWidth="1"/>
    <col min="7" max="257" width="20.42578125" style="13" customWidth="1"/>
    <col min="258" max="16384" width="20.42578125" style="14"/>
  </cols>
  <sheetData>
    <row r="1" spans="1:257" ht="30" customHeight="1">
      <c r="A1" s="124" t="s">
        <v>28</v>
      </c>
      <c r="B1" s="124"/>
      <c r="C1" s="124"/>
      <c r="D1" s="124"/>
      <c r="E1" s="12"/>
      <c r="F1" s="12"/>
    </row>
    <row r="2" spans="1:257" ht="23.85" customHeight="1">
      <c r="A2" s="63" t="s">
        <v>1</v>
      </c>
      <c r="B2" s="63" t="s">
        <v>5</v>
      </c>
      <c r="C2" s="63" t="s">
        <v>2</v>
      </c>
      <c r="D2" s="63" t="s">
        <v>294</v>
      </c>
      <c r="E2" s="18"/>
      <c r="IV2" s="14"/>
      <c r="IW2" s="14"/>
    </row>
    <row r="3" spans="1:257" ht="25.5">
      <c r="A3" s="58" t="s">
        <v>43</v>
      </c>
      <c r="B3" s="58" t="s">
        <v>383</v>
      </c>
      <c r="C3" s="59" t="s">
        <v>44</v>
      </c>
      <c r="D3" s="60">
        <f>60*78*6</f>
        <v>28080</v>
      </c>
      <c r="E3" s="38" t="s">
        <v>76</v>
      </c>
      <c r="F3" s="36"/>
      <c r="IV3" s="14"/>
      <c r="IW3" s="14"/>
    </row>
    <row r="4" spans="1:257" ht="25.5">
      <c r="A4" s="58" t="s">
        <v>166</v>
      </c>
      <c r="B4" s="58" t="s">
        <v>383</v>
      </c>
      <c r="C4" s="59">
        <v>3</v>
      </c>
      <c r="D4" s="60">
        <f>3*78*430</f>
        <v>100620</v>
      </c>
      <c r="E4" s="18" t="s">
        <v>253</v>
      </c>
      <c r="F4" s="8"/>
      <c r="IV4" s="14"/>
      <c r="IW4" s="14"/>
    </row>
    <row r="5" spans="1:257" ht="24.75" customHeight="1">
      <c r="A5" s="58" t="s">
        <v>6</v>
      </c>
      <c r="B5" s="58" t="s">
        <v>9</v>
      </c>
      <c r="C5" s="114" t="s">
        <v>254</v>
      </c>
      <c r="D5" s="115">
        <v>0</v>
      </c>
      <c r="E5" s="18"/>
      <c r="IV5" s="14"/>
      <c r="IW5" s="14"/>
    </row>
    <row r="6" spans="1:257" ht="24.75" customHeight="1">
      <c r="A6" s="19"/>
      <c r="B6" s="19"/>
      <c r="C6" s="22"/>
      <c r="D6" s="19"/>
      <c r="E6" s="38"/>
      <c r="F6" s="36"/>
      <c r="IV6" s="14"/>
      <c r="IW6" s="14"/>
    </row>
    <row r="7" spans="1:257" ht="32.25" customHeight="1">
      <c r="A7" s="20" t="s">
        <v>3</v>
      </c>
      <c r="B7" s="20"/>
      <c r="C7" s="11"/>
      <c r="D7" s="21">
        <f>SUM(D3:D5)</f>
        <v>128700</v>
      </c>
      <c r="E7" s="18"/>
      <c r="F7" s="8"/>
      <c r="G7" s="8"/>
      <c r="IV7" s="14"/>
      <c r="IW7" s="14"/>
    </row>
    <row r="8" spans="1:257" ht="40.5" customHeight="1">
      <c r="E8" s="18"/>
      <c r="IV8" s="14"/>
      <c r="IW8" s="14"/>
    </row>
    <row r="9" spans="1:257" ht="22.35" customHeight="1">
      <c r="IV9" s="14"/>
      <c r="IW9" s="14"/>
    </row>
    <row r="10" spans="1:257" ht="22.35" customHeight="1">
      <c r="E10" s="36"/>
      <c r="IV10" s="14"/>
      <c r="IW10" s="14"/>
    </row>
    <row r="11" spans="1:257" ht="22.35" customHeight="1">
      <c r="E11" s="36"/>
      <c r="IV11" s="14"/>
      <c r="IW11" s="14"/>
    </row>
    <row r="12" spans="1:257" ht="22.35" customHeight="1">
      <c r="IV12" s="14"/>
      <c r="IW12" s="14"/>
    </row>
    <row r="13" spans="1:257" ht="22.35" customHeight="1">
      <c r="IV13" s="14"/>
      <c r="IW13" s="14"/>
    </row>
    <row r="14" spans="1:257" ht="22.35" customHeight="1">
      <c r="IV14" s="14"/>
      <c r="IW14" s="14"/>
    </row>
    <row r="15" spans="1:257" ht="22.35" customHeight="1">
      <c r="IV15" s="14"/>
      <c r="IW15" s="14"/>
    </row>
    <row r="16" spans="1:257" ht="22.35" customHeight="1">
      <c r="IV16" s="14"/>
      <c r="IW16" s="14"/>
    </row>
    <row r="18" ht="22.35" customHeight="1"/>
  </sheetData>
  <mergeCells count="1">
    <mergeCell ref="A1:D1"/>
  </mergeCells>
  <hyperlinks>
    <hyperlink ref="E3" r:id="rId1"/>
    <hyperlink ref="E4" r:id="rId2"/>
  </hyperlinks>
  <pageMargins left="0.98425196850393704" right="0.98425196850393704" top="0.98425196850393704" bottom="0.98425196850393704" header="0.23622047244094491" footer="0.23622047244094491"/>
  <pageSetup paperSize="9" scale="98" orientation="portrait" r:id="rId3"/>
  <headerFooter>
    <oddFooter>&amp;C&amp;"Avenir Next,Regular"&amp;10&amp;K000000&amp;P</oddFooter>
  </headerFooter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9"/>
  <sheetViews>
    <sheetView showGridLines="0" view="pageBreakPreview" zoomScale="80" zoomScaleSheetLayoutView="80" workbookViewId="0">
      <pane ySplit="2" topLeftCell="A8" activePane="bottomLeft" state="frozen"/>
      <selection pane="bottomLeft" activeCell="F14" sqref="F14"/>
    </sheetView>
  </sheetViews>
  <sheetFormatPr defaultColWidth="20.42578125" defaultRowHeight="21.75" customHeight="1"/>
  <cols>
    <col min="1" max="1" width="20.42578125" style="13" customWidth="1"/>
    <col min="2" max="2" width="21.85546875" style="13" customWidth="1"/>
    <col min="3" max="3" width="21.140625" style="13" customWidth="1"/>
    <col min="4" max="4" width="25.140625" style="13" customWidth="1"/>
    <col min="5" max="5" width="49.5703125" style="78" customWidth="1"/>
    <col min="6" max="6" width="21.140625" style="8" customWidth="1"/>
    <col min="7" max="257" width="20.42578125" style="8" customWidth="1"/>
    <col min="258" max="16384" width="20.42578125" style="9"/>
  </cols>
  <sheetData>
    <row r="1" spans="1:257" ht="30" customHeight="1">
      <c r="A1" s="120" t="s">
        <v>20</v>
      </c>
      <c r="B1" s="120"/>
      <c r="C1" s="120"/>
      <c r="D1" s="120"/>
      <c r="E1" s="77"/>
      <c r="F1" s="6"/>
    </row>
    <row r="2" spans="1:257" ht="23.85" customHeight="1">
      <c r="A2" s="15" t="s">
        <v>1</v>
      </c>
      <c r="B2" s="15" t="s">
        <v>5</v>
      </c>
      <c r="C2" s="15" t="s">
        <v>2</v>
      </c>
      <c r="D2" s="15"/>
      <c r="IV2" s="9"/>
      <c r="IW2" s="9"/>
    </row>
    <row r="3" spans="1:257" ht="60.75" customHeight="1">
      <c r="A3" s="65" t="s">
        <v>29</v>
      </c>
      <c r="B3" s="65" t="s">
        <v>309</v>
      </c>
      <c r="C3" s="69" t="s">
        <v>30</v>
      </c>
      <c r="D3" s="66">
        <f>115*6.5*78</f>
        <v>58305</v>
      </c>
      <c r="E3" s="79" t="s">
        <v>31</v>
      </c>
      <c r="IV3" s="9"/>
      <c r="IW3" s="9"/>
    </row>
    <row r="4" spans="1:257" ht="55.5" customHeight="1">
      <c r="A4" s="65" t="s">
        <v>33</v>
      </c>
      <c r="B4" s="65" t="s">
        <v>397</v>
      </c>
      <c r="C4" s="69" t="s">
        <v>36</v>
      </c>
      <c r="D4" s="67">
        <v>85000</v>
      </c>
      <c r="E4" s="79" t="s">
        <v>56</v>
      </c>
      <c r="IV4" s="9"/>
      <c r="IW4" s="9"/>
    </row>
    <row r="5" spans="1:257" ht="66" customHeight="1">
      <c r="A5" s="65" t="s">
        <v>8</v>
      </c>
      <c r="B5" s="150" t="s">
        <v>9</v>
      </c>
      <c r="C5" s="108" t="s">
        <v>32</v>
      </c>
      <c r="D5" s="110">
        <v>0</v>
      </c>
      <c r="E5" s="80"/>
      <c r="IV5" s="9"/>
      <c r="IW5" s="9"/>
    </row>
    <row r="6" spans="1:257" ht="45" customHeight="1">
      <c r="A6" s="65" t="s">
        <v>35</v>
      </c>
      <c r="B6" s="65" t="s">
        <v>57</v>
      </c>
      <c r="C6" s="69" t="s">
        <v>34</v>
      </c>
      <c r="D6" s="67">
        <v>20000</v>
      </c>
      <c r="E6" s="79"/>
      <c r="IV6" s="9"/>
      <c r="IW6" s="9"/>
    </row>
    <row r="7" spans="1:257" ht="37.5" customHeight="1">
      <c r="A7" s="65" t="s">
        <v>43</v>
      </c>
      <c r="B7" s="65" t="s">
        <v>78</v>
      </c>
      <c r="C7" s="69" t="s">
        <v>44</v>
      </c>
      <c r="D7" s="67">
        <f>60*6*78</f>
        <v>28080</v>
      </c>
      <c r="E7" s="81" t="s">
        <v>76</v>
      </c>
      <c r="IV7" s="9"/>
      <c r="IW7" s="9"/>
    </row>
    <row r="8" spans="1:257" ht="27" customHeight="1">
      <c r="A8" s="65" t="s">
        <v>45</v>
      </c>
      <c r="B8" s="65" t="s">
        <v>347</v>
      </c>
      <c r="C8" s="69" t="s">
        <v>46</v>
      </c>
      <c r="D8" s="67">
        <f>900*66*2</f>
        <v>118800</v>
      </c>
      <c r="E8" s="79" t="s">
        <v>59</v>
      </c>
      <c r="IV8" s="9"/>
      <c r="IW8" s="9"/>
    </row>
    <row r="9" spans="1:257" ht="64.5" customHeight="1">
      <c r="A9" s="65" t="s">
        <v>47</v>
      </c>
      <c r="B9" s="65" t="s">
        <v>58</v>
      </c>
      <c r="C9" s="69" t="s">
        <v>312</v>
      </c>
      <c r="D9" s="66">
        <v>370000</v>
      </c>
      <c r="IV9" s="9"/>
      <c r="IW9" s="9"/>
    </row>
    <row r="10" spans="1:257" ht="38.25">
      <c r="A10" s="65" t="s">
        <v>48</v>
      </c>
      <c r="B10" s="65" t="s">
        <v>49</v>
      </c>
      <c r="C10" s="69" t="s">
        <v>310</v>
      </c>
      <c r="D10" s="67">
        <v>350000</v>
      </c>
      <c r="IV10" s="9"/>
      <c r="IW10" s="9"/>
    </row>
    <row r="11" spans="1:257" ht="30.75" customHeight="1">
      <c r="A11" s="65" t="s">
        <v>50</v>
      </c>
      <c r="B11" s="65" t="s">
        <v>346</v>
      </c>
      <c r="C11" s="69"/>
      <c r="D11" s="67">
        <v>47000</v>
      </c>
      <c r="E11" s="79" t="s">
        <v>62</v>
      </c>
      <c r="IV11" s="9"/>
      <c r="IW11" s="9"/>
    </row>
    <row r="12" spans="1:257" s="30" customFormat="1" ht="36" customHeight="1">
      <c r="A12" s="65" t="s">
        <v>51</v>
      </c>
      <c r="B12" s="65" t="s">
        <v>52</v>
      </c>
      <c r="C12" s="69" t="s">
        <v>311</v>
      </c>
      <c r="D12" s="67">
        <v>6000</v>
      </c>
      <c r="E12" s="78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7" ht="43.5" customHeight="1">
      <c r="A13" s="65" t="s">
        <v>14</v>
      </c>
      <c r="B13" s="65" t="s">
        <v>345</v>
      </c>
      <c r="C13" s="69" t="s">
        <v>55</v>
      </c>
      <c r="D13" s="67">
        <v>190000</v>
      </c>
      <c r="E13" s="79" t="s">
        <v>60</v>
      </c>
      <c r="IV13" s="9"/>
      <c r="IW13" s="9"/>
    </row>
    <row r="14" spans="1:257" ht="51.75" customHeight="1">
      <c r="A14" s="65" t="s">
        <v>54</v>
      </c>
      <c r="B14" s="65" t="s">
        <v>347</v>
      </c>
      <c r="C14" s="69" t="s">
        <v>55</v>
      </c>
      <c r="D14" s="67">
        <v>50000</v>
      </c>
      <c r="E14" s="79" t="s">
        <v>61</v>
      </c>
      <c r="F14" s="35" t="s">
        <v>61</v>
      </c>
      <c r="IV14" s="9"/>
      <c r="IW14" s="9"/>
    </row>
    <row r="15" spans="1:257" ht="30.75" customHeight="1">
      <c r="A15" s="121" t="s">
        <v>299</v>
      </c>
      <c r="B15" s="122"/>
      <c r="C15" s="123"/>
      <c r="D15" s="82">
        <f>SUM(D3:D14)</f>
        <v>1323185</v>
      </c>
      <c r="IV15" s="9"/>
      <c r="IW15" s="9"/>
    </row>
    <row r="16" spans="1:257" ht="22.35" customHeight="1">
      <c r="A16" s="24"/>
      <c r="B16" s="25"/>
      <c r="C16" s="83"/>
      <c r="D16" s="84"/>
      <c r="IV16" s="9"/>
      <c r="IW16" s="9"/>
    </row>
    <row r="17" spans="1:257" ht="21.75" customHeight="1">
      <c r="A17" s="24"/>
      <c r="B17" s="25"/>
      <c r="C17" s="83"/>
      <c r="D17" s="84"/>
      <c r="IV17" s="9"/>
      <c r="IW17" s="9"/>
    </row>
    <row r="18" spans="1:257" ht="22.35" customHeight="1">
      <c r="IV18" s="9"/>
      <c r="IW18" s="9"/>
    </row>
    <row r="19" spans="1:257" ht="21.75" customHeight="1">
      <c r="IV19" s="9"/>
      <c r="IW19" s="9"/>
    </row>
  </sheetData>
  <mergeCells count="2">
    <mergeCell ref="A1:D1"/>
    <mergeCell ref="A15:C15"/>
  </mergeCells>
  <hyperlinks>
    <hyperlink ref="E3" r:id="rId1"/>
    <hyperlink ref="E4" r:id="rId2"/>
    <hyperlink ref="E8" r:id="rId3"/>
    <hyperlink ref="E13" r:id="rId4"/>
    <hyperlink ref="F14" r:id="rId5"/>
    <hyperlink ref="E14" r:id="rId6"/>
    <hyperlink ref="E11" r:id="rId7"/>
    <hyperlink ref="E7" r:id="rId8"/>
  </hyperlinks>
  <pageMargins left="0.98425196850393704" right="0.98425196850393704" top="0.98425196850393704" bottom="0.98425196850393704" header="0.23622047244094491" footer="0.23622047244094491"/>
  <pageSetup paperSize="9" scale="78" orientation="portrait" r:id="rId9"/>
  <headerFooter>
    <oddFooter>&amp;C&amp;"Avenir Next,Regular"&amp;10&amp;K000000&amp;P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2"/>
  <sheetViews>
    <sheetView showGridLines="0" tabSelected="1" view="pageBreakPreview" zoomScale="80" zoomScaleSheetLayoutView="80" workbookViewId="0">
      <pane ySplit="2" topLeftCell="A3" activePane="bottomLeft" state="frozen"/>
      <selection pane="bottomLeft" activeCell="B5" sqref="B5"/>
    </sheetView>
  </sheetViews>
  <sheetFormatPr defaultColWidth="20.42578125" defaultRowHeight="21.75" customHeight="1"/>
  <cols>
    <col min="1" max="2" width="20.42578125" style="13" customWidth="1"/>
    <col min="3" max="3" width="21.140625" style="13" customWidth="1"/>
    <col min="4" max="4" width="27.140625" style="13" customWidth="1"/>
    <col min="5" max="5" width="58.42578125" style="43" customWidth="1"/>
    <col min="6" max="6" width="21.140625" style="8" customWidth="1"/>
    <col min="7" max="257" width="20.42578125" style="8" customWidth="1"/>
    <col min="258" max="16384" width="20.42578125" style="9"/>
  </cols>
  <sheetData>
    <row r="1" spans="1:257" ht="30" customHeight="1">
      <c r="A1" s="124" t="s">
        <v>21</v>
      </c>
      <c r="B1" s="124"/>
      <c r="C1" s="124"/>
      <c r="D1" s="124"/>
      <c r="E1" s="42"/>
      <c r="F1" s="6"/>
    </row>
    <row r="2" spans="1:257" ht="23.85" customHeight="1">
      <c r="A2" s="85" t="s">
        <v>1</v>
      </c>
      <c r="B2" s="85" t="s">
        <v>5</v>
      </c>
      <c r="C2" s="85" t="s">
        <v>2</v>
      </c>
      <c r="D2" s="85" t="s">
        <v>294</v>
      </c>
      <c r="IV2" s="9"/>
      <c r="IW2" s="9"/>
    </row>
    <row r="3" spans="1:257" ht="41.25" customHeight="1">
      <c r="A3" s="65" t="s">
        <v>64</v>
      </c>
      <c r="B3" s="65" t="s">
        <v>366</v>
      </c>
      <c r="C3" s="69">
        <v>1</v>
      </c>
      <c r="D3" s="67">
        <f>2100*78</f>
        <v>163800</v>
      </c>
      <c r="E3" s="44" t="s">
        <v>79</v>
      </c>
      <c r="IV3" s="9"/>
      <c r="IW3" s="9"/>
    </row>
    <row r="4" spans="1:257" ht="40.5" customHeight="1">
      <c r="A4" s="65" t="s">
        <v>65</v>
      </c>
      <c r="B4" s="65" t="s">
        <v>365</v>
      </c>
      <c r="C4" s="69">
        <v>1</v>
      </c>
      <c r="D4" s="67">
        <f>1440*68</f>
        <v>97920</v>
      </c>
      <c r="E4" s="44" t="s">
        <v>80</v>
      </c>
      <c r="IV4" s="9"/>
      <c r="IW4" s="9"/>
    </row>
    <row r="5" spans="1:257" ht="51">
      <c r="A5" s="65" t="s">
        <v>348</v>
      </c>
      <c r="B5" s="65" t="s">
        <v>81</v>
      </c>
      <c r="C5" s="67" t="s">
        <v>313</v>
      </c>
      <c r="D5" s="67">
        <v>165000</v>
      </c>
      <c r="IV5" s="9"/>
      <c r="IW5" s="9"/>
    </row>
    <row r="6" spans="1:257" ht="39.75" customHeight="1">
      <c r="A6" s="65" t="s">
        <v>67</v>
      </c>
      <c r="B6" s="65" t="s">
        <v>364</v>
      </c>
      <c r="C6" s="67" t="s">
        <v>82</v>
      </c>
      <c r="D6" s="67">
        <v>110000</v>
      </c>
      <c r="E6" s="44" t="s">
        <v>56</v>
      </c>
      <c r="IV6" s="9"/>
      <c r="IW6" s="9"/>
    </row>
    <row r="7" spans="1:257" ht="34.5" customHeight="1">
      <c r="A7" s="65" t="s">
        <v>68</v>
      </c>
      <c r="B7" s="65" t="s">
        <v>83</v>
      </c>
      <c r="C7" s="67" t="s">
        <v>84</v>
      </c>
      <c r="D7" s="67">
        <v>35000</v>
      </c>
      <c r="IV7" s="9"/>
      <c r="IW7" s="9"/>
    </row>
    <row r="8" spans="1:257" ht="51.75" customHeight="1">
      <c r="A8" s="65" t="s">
        <v>69</v>
      </c>
      <c r="B8" s="65" t="s">
        <v>83</v>
      </c>
      <c r="C8" s="67" t="s">
        <v>349</v>
      </c>
      <c r="D8" s="67">
        <v>170000</v>
      </c>
      <c r="IV8" s="9"/>
      <c r="IW8" s="9"/>
    </row>
    <row r="9" spans="1:257" ht="29.25" customHeight="1">
      <c r="A9" s="65" t="s">
        <v>70</v>
      </c>
      <c r="B9" s="65" t="s">
        <v>363</v>
      </c>
      <c r="C9" s="67" t="s">
        <v>314</v>
      </c>
      <c r="D9" s="67">
        <v>70000</v>
      </c>
      <c r="E9" s="86"/>
      <c r="IV9" s="9"/>
      <c r="IW9" s="9"/>
    </row>
    <row r="10" spans="1:257" s="30" customFormat="1" ht="22.5">
      <c r="A10" s="65" t="s">
        <v>16</v>
      </c>
      <c r="B10" s="65" t="s">
        <v>350</v>
      </c>
      <c r="C10" s="67" t="s">
        <v>302</v>
      </c>
      <c r="D10" s="66">
        <f>1470*78</f>
        <v>114660</v>
      </c>
      <c r="E10" s="44" t="s">
        <v>87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257" ht="33.75">
      <c r="A11" s="65" t="s">
        <v>19</v>
      </c>
      <c r="B11" s="65" t="s">
        <v>351</v>
      </c>
      <c r="C11" s="67" t="s">
        <v>75</v>
      </c>
      <c r="D11" s="151">
        <f>1400*8*78</f>
        <v>873600</v>
      </c>
      <c r="E11" s="44" t="s">
        <v>92</v>
      </c>
      <c r="IV11" s="9"/>
      <c r="IW11" s="9"/>
    </row>
    <row r="12" spans="1:257" ht="33.75">
      <c r="A12" s="65" t="s">
        <v>15</v>
      </c>
      <c r="B12" s="65" t="s">
        <v>94</v>
      </c>
      <c r="C12" s="67" t="s">
        <v>315</v>
      </c>
      <c r="D12" s="67">
        <v>600000</v>
      </c>
      <c r="E12" s="43" t="s">
        <v>93</v>
      </c>
      <c r="IV12" s="9"/>
      <c r="IW12" s="9"/>
    </row>
    <row r="13" spans="1:257" ht="23.25" customHeight="1">
      <c r="A13" s="65" t="s">
        <v>71</v>
      </c>
      <c r="B13" s="65" t="s">
        <v>362</v>
      </c>
      <c r="C13" s="67" t="s">
        <v>66</v>
      </c>
      <c r="D13" s="151">
        <f>10000*2*68</f>
        <v>1360000</v>
      </c>
      <c r="E13" s="44" t="s">
        <v>86</v>
      </c>
      <c r="IV13" s="9"/>
      <c r="IW13" s="9"/>
    </row>
    <row r="14" spans="1:257" ht="34.5" customHeight="1">
      <c r="A14" s="65" t="s">
        <v>72</v>
      </c>
      <c r="B14" s="65" t="s">
        <v>361</v>
      </c>
      <c r="C14" s="67" t="s">
        <v>74</v>
      </c>
      <c r="D14" s="67">
        <v>112000</v>
      </c>
      <c r="E14" s="44" t="s">
        <v>88</v>
      </c>
      <c r="IV14" s="9"/>
      <c r="IW14" s="9"/>
    </row>
    <row r="15" spans="1:257" ht="24" customHeight="1">
      <c r="A15" s="65" t="s">
        <v>73</v>
      </c>
      <c r="B15" s="65" t="s">
        <v>360</v>
      </c>
      <c r="C15" s="67" t="s">
        <v>302</v>
      </c>
      <c r="D15" s="66">
        <v>65000</v>
      </c>
      <c r="IV15" s="9"/>
      <c r="IW15" s="9"/>
    </row>
    <row r="16" spans="1:257" ht="39" customHeight="1">
      <c r="A16" s="65" t="s">
        <v>17</v>
      </c>
      <c r="B16" s="65" t="s">
        <v>359</v>
      </c>
      <c r="C16" s="67" t="s">
        <v>66</v>
      </c>
      <c r="D16" s="66">
        <f>3500*78</f>
        <v>273000</v>
      </c>
      <c r="E16" s="44" t="s">
        <v>85</v>
      </c>
      <c r="IV16" s="9"/>
      <c r="IW16" s="9"/>
    </row>
    <row r="17" spans="1:257" ht="34.5" customHeight="1">
      <c r="A17" s="65" t="s">
        <v>43</v>
      </c>
      <c r="B17" s="65" t="s">
        <v>78</v>
      </c>
      <c r="C17" s="67" t="s">
        <v>44</v>
      </c>
      <c r="D17" s="67">
        <f>60*6*78</f>
        <v>28080</v>
      </c>
      <c r="E17" s="81" t="s">
        <v>76</v>
      </c>
      <c r="IV17" s="9"/>
      <c r="IW17" s="9"/>
    </row>
    <row r="18" spans="1:257" ht="44.25" customHeight="1">
      <c r="A18" s="65" t="s">
        <v>89</v>
      </c>
      <c r="B18" s="65" t="s">
        <v>358</v>
      </c>
      <c r="C18" s="67" t="s">
        <v>356</v>
      </c>
      <c r="D18" s="67">
        <v>46000</v>
      </c>
      <c r="E18" s="44" t="s">
        <v>90</v>
      </c>
    </row>
    <row r="19" spans="1:257" ht="63.75" customHeight="1">
      <c r="A19" s="65" t="s">
        <v>18</v>
      </c>
      <c r="B19" s="65" t="s">
        <v>357</v>
      </c>
      <c r="C19" s="67" t="s">
        <v>96</v>
      </c>
      <c r="D19" s="67">
        <f>2000*68</f>
        <v>136000</v>
      </c>
      <c r="E19" s="44" t="s">
        <v>95</v>
      </c>
    </row>
    <row r="20" spans="1:257" ht="32.25" customHeight="1">
      <c r="A20" s="65" t="s">
        <v>10</v>
      </c>
      <c r="B20" s="65" t="s">
        <v>355</v>
      </c>
      <c r="C20" s="67" t="s">
        <v>356</v>
      </c>
      <c r="D20" s="151">
        <v>230000</v>
      </c>
      <c r="E20" s="44" t="s">
        <v>97</v>
      </c>
    </row>
    <row r="21" spans="1:257" ht="32.25" customHeight="1">
      <c r="A21" s="65" t="s">
        <v>99</v>
      </c>
      <c r="B21" s="65" t="s">
        <v>9</v>
      </c>
      <c r="C21" s="110" t="s">
        <v>100</v>
      </c>
      <c r="D21" s="110">
        <v>0</v>
      </c>
    </row>
    <row r="22" spans="1:257" ht="21.75" customHeight="1">
      <c r="A22" s="125" t="s">
        <v>399</v>
      </c>
      <c r="B22" s="126"/>
      <c r="C22" s="127"/>
      <c r="D22" s="70">
        <f>SUM(D3,D5:D21)</f>
        <v>4552140</v>
      </c>
    </row>
  </sheetData>
  <mergeCells count="2">
    <mergeCell ref="A1:D1"/>
    <mergeCell ref="A22:C22"/>
  </mergeCells>
  <hyperlinks>
    <hyperlink ref="E17" r:id="rId1"/>
    <hyperlink ref="E3" r:id="rId2"/>
    <hyperlink ref="E4" r:id="rId3"/>
    <hyperlink ref="E6" r:id="rId4"/>
    <hyperlink ref="E16" r:id="rId5"/>
    <hyperlink ref="E13" r:id="rId6"/>
    <hyperlink ref="E10" r:id="rId7"/>
    <hyperlink ref="E14" r:id="rId8"/>
    <hyperlink ref="E18" r:id="rId9" location="prettyPhoto"/>
    <hyperlink ref="E11" r:id="rId10"/>
    <hyperlink ref="E19" r:id="rId11"/>
    <hyperlink ref="E20" r:id="rId12"/>
  </hyperlinks>
  <pageMargins left="0.98425196850393704" right="0.98425196850393704" top="0.98425196850393704" bottom="0.98425196850393704" header="0.23622047244094491" footer="0.23622047244094491"/>
  <pageSetup paperSize="9" scale="78" orientation="portrait" r:id="rId13"/>
  <headerFooter>
    <oddFooter>&amp;C&amp;"Avenir Next,Regular"&amp;10&amp;K000000&amp;P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"/>
  <sheetViews>
    <sheetView showGridLines="0" view="pageBreakPreview" zoomScaleSheetLayoutView="100" workbookViewId="0">
      <pane ySplit="2" topLeftCell="A3" activePane="bottomLeft" state="frozen"/>
      <selection pane="bottomLeft" activeCell="D3" sqref="D3"/>
    </sheetView>
  </sheetViews>
  <sheetFormatPr defaultColWidth="20.42578125" defaultRowHeight="21.75" customHeight="1"/>
  <cols>
    <col min="1" max="2" width="20.42578125" style="13" customWidth="1"/>
    <col min="3" max="4" width="21.140625" style="13" customWidth="1"/>
    <col min="5" max="5" width="42.5703125" style="43" customWidth="1"/>
    <col min="6" max="6" width="34.42578125" style="2" customWidth="1"/>
    <col min="7" max="257" width="20.42578125" style="2" customWidth="1"/>
  </cols>
  <sheetData>
    <row r="1" spans="1:257" ht="30" customHeight="1">
      <c r="A1" s="124" t="s">
        <v>22</v>
      </c>
      <c r="B1" s="124"/>
      <c r="C1" s="124"/>
      <c r="D1" s="124"/>
      <c r="E1" s="42"/>
      <c r="F1" s="6"/>
    </row>
    <row r="2" spans="1:257" ht="23.85" customHeight="1">
      <c r="A2" s="85" t="s">
        <v>1</v>
      </c>
      <c r="B2" s="85" t="s">
        <v>5</v>
      </c>
      <c r="C2" s="85" t="s">
        <v>2</v>
      </c>
      <c r="D2" s="85"/>
      <c r="IU2"/>
      <c r="IV2"/>
      <c r="IW2"/>
    </row>
    <row r="3" spans="1:257" ht="46.5" customHeight="1">
      <c r="A3" s="65" t="s">
        <v>98</v>
      </c>
      <c r="B3" s="65" t="s">
        <v>354</v>
      </c>
      <c r="C3" s="69" t="s">
        <v>102</v>
      </c>
      <c r="D3" s="66">
        <f>115*78*6.6</f>
        <v>59202</v>
      </c>
      <c r="E3" s="44" t="s">
        <v>31</v>
      </c>
      <c r="IU3"/>
      <c r="IV3"/>
      <c r="IW3"/>
    </row>
    <row r="4" spans="1:257" ht="39.75" customHeight="1">
      <c r="A4" s="65" t="s">
        <v>99</v>
      </c>
      <c r="B4" s="87" t="s">
        <v>9</v>
      </c>
      <c r="C4" s="108" t="s">
        <v>101</v>
      </c>
      <c r="D4" s="109">
        <v>0</v>
      </c>
      <c r="E4" s="44"/>
      <c r="F4" s="3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/>
      <c r="IV4"/>
      <c r="IW4"/>
    </row>
    <row r="5" spans="1:257" ht="25.5">
      <c r="A5" s="65" t="s">
        <v>105</v>
      </c>
      <c r="B5" s="87" t="s">
        <v>57</v>
      </c>
      <c r="C5" s="69" t="s">
        <v>106</v>
      </c>
      <c r="D5" s="88">
        <v>140000</v>
      </c>
      <c r="F5" s="3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/>
      <c r="IV5"/>
      <c r="IW5"/>
    </row>
    <row r="6" spans="1:257" ht="34.5" customHeight="1">
      <c r="A6" s="65" t="s">
        <v>103</v>
      </c>
      <c r="B6" s="87" t="s">
        <v>353</v>
      </c>
      <c r="C6" s="69" t="s">
        <v>55</v>
      </c>
      <c r="D6" s="88">
        <v>150000</v>
      </c>
      <c r="E6" s="4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/>
      <c r="IV6"/>
      <c r="IW6"/>
    </row>
    <row r="7" spans="1:257" ht="27.75" customHeight="1">
      <c r="A7" s="65" t="s">
        <v>104</v>
      </c>
      <c r="B7" s="65" t="s">
        <v>353</v>
      </c>
      <c r="C7" s="69" t="s">
        <v>55</v>
      </c>
      <c r="D7" s="88">
        <v>150000</v>
      </c>
      <c r="E7" s="4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/>
      <c r="IV7"/>
      <c r="IW7"/>
    </row>
    <row r="8" spans="1:257" ht="32.25" customHeight="1">
      <c r="A8" s="65" t="s">
        <v>107</v>
      </c>
      <c r="B8" s="65" t="s">
        <v>352</v>
      </c>
      <c r="C8" s="69" t="s">
        <v>108</v>
      </c>
      <c r="D8" s="151">
        <f>400*3*78</f>
        <v>93600</v>
      </c>
      <c r="E8" s="81" t="s">
        <v>109</v>
      </c>
      <c r="F8" s="8"/>
      <c r="G8" s="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/>
      <c r="IV8"/>
      <c r="IW8"/>
    </row>
    <row r="9" spans="1:257" ht="21.75" customHeight="1">
      <c r="A9" s="19"/>
      <c r="B9" s="19"/>
      <c r="C9" s="51"/>
      <c r="D9" s="19"/>
      <c r="F9" s="3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/>
      <c r="IV9"/>
      <c r="IW9"/>
    </row>
    <row r="10" spans="1:257" ht="21.75" customHeight="1">
      <c r="A10" s="128" t="s">
        <v>307</v>
      </c>
      <c r="B10" s="129"/>
      <c r="C10" s="130"/>
      <c r="D10" s="21">
        <f>SUM(D3:D8)</f>
        <v>592802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/>
      <c r="IV10"/>
      <c r="IW10"/>
    </row>
    <row r="11" spans="1:257" ht="27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/>
      <c r="IV11"/>
      <c r="IW11"/>
    </row>
    <row r="12" spans="1:257" ht="21.75" customHeight="1">
      <c r="C12" s="3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/>
      <c r="IV12"/>
      <c r="IW12"/>
    </row>
    <row r="13" spans="1:257" ht="22.35" customHeight="1">
      <c r="F13" s="5"/>
      <c r="G13" s="5"/>
      <c r="IU13"/>
      <c r="IV13"/>
      <c r="IW13"/>
    </row>
    <row r="14" spans="1:257" ht="21.75" customHeight="1">
      <c r="IU14"/>
      <c r="IV14"/>
      <c r="IW14"/>
    </row>
  </sheetData>
  <mergeCells count="2">
    <mergeCell ref="A1:D1"/>
    <mergeCell ref="A10:C10"/>
  </mergeCells>
  <hyperlinks>
    <hyperlink ref="E3" r:id="rId1"/>
    <hyperlink ref="E8" r:id="rId2"/>
  </hyperlinks>
  <pageMargins left="0.98425196850393704" right="0.98425196850393704" top="0.98425196850393704" bottom="0.98425196850393704" header="0.23622047244094491" footer="0.23622047244094491"/>
  <pageSetup paperSize="9" scale="98" orientation="portrait" r:id="rId3"/>
  <headerFooter>
    <oddFooter>&amp;C&amp;"Avenir Next,Regular"&amp;10&amp;K000000&amp;P</oddFooter>
  </headerFooter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9"/>
  <sheetViews>
    <sheetView showGridLines="0" view="pageBreakPreview" zoomScale="80" zoomScaleSheetLayoutView="80" workbookViewId="0">
      <pane ySplit="2" topLeftCell="A12" activePane="bottomLeft" state="frozen"/>
      <selection pane="bottomLeft" activeCell="B16" sqref="B16"/>
    </sheetView>
  </sheetViews>
  <sheetFormatPr defaultColWidth="20.42578125" defaultRowHeight="21.75" customHeight="1"/>
  <cols>
    <col min="1" max="1" width="20.42578125" style="13" customWidth="1"/>
    <col min="2" max="2" width="23.140625" style="13" customWidth="1"/>
    <col min="3" max="3" width="24.42578125" style="13" customWidth="1"/>
    <col min="4" max="4" width="27" style="13" customWidth="1"/>
    <col min="5" max="5" width="30.5703125" style="3" customWidth="1"/>
    <col min="6" max="6" width="21.140625" style="3" customWidth="1"/>
    <col min="7" max="257" width="20.42578125" style="3" customWidth="1"/>
  </cols>
  <sheetData>
    <row r="1" spans="1:257" ht="30" customHeight="1">
      <c r="A1" s="124" t="s">
        <v>23</v>
      </c>
      <c r="B1" s="124"/>
      <c r="C1" s="124"/>
      <c r="D1" s="124"/>
      <c r="E1" s="6"/>
      <c r="F1" s="6"/>
    </row>
    <row r="2" spans="1:257" ht="23.85" customHeight="1">
      <c r="A2" s="85" t="s">
        <v>1</v>
      </c>
      <c r="B2" s="85" t="s">
        <v>5</v>
      </c>
      <c r="C2" s="85" t="s">
        <v>2</v>
      </c>
      <c r="D2" s="85"/>
      <c r="IU2"/>
      <c r="IV2"/>
      <c r="IW2"/>
    </row>
    <row r="3" spans="1:257" ht="102" customHeight="1">
      <c r="A3" s="65" t="s">
        <v>110</v>
      </c>
      <c r="B3" s="65" t="s">
        <v>118</v>
      </c>
      <c r="C3" s="69" t="s">
        <v>117</v>
      </c>
      <c r="D3" s="67">
        <v>1400000</v>
      </c>
      <c r="F3" s="34"/>
      <c r="IU3"/>
      <c r="IV3"/>
      <c r="IW3"/>
    </row>
    <row r="4" spans="1:257" ht="57" customHeight="1">
      <c r="A4" s="65" t="s">
        <v>111</v>
      </c>
      <c r="B4" s="65" t="s">
        <v>113</v>
      </c>
      <c r="C4" s="69" t="s">
        <v>112</v>
      </c>
      <c r="D4" s="67">
        <v>250000</v>
      </c>
      <c r="E4" s="7"/>
      <c r="IR4"/>
      <c r="IS4"/>
      <c r="IT4"/>
      <c r="IU4"/>
      <c r="IV4"/>
      <c r="IW4"/>
    </row>
    <row r="5" spans="1:257" ht="27.75" customHeight="1">
      <c r="A5" s="87" t="s">
        <v>114</v>
      </c>
      <c r="B5" s="89" t="s">
        <v>115</v>
      </c>
      <c r="C5" s="90" t="s">
        <v>116</v>
      </c>
      <c r="D5" s="67">
        <v>95000</v>
      </c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/>
      <c r="IV5"/>
      <c r="IW5"/>
    </row>
    <row r="6" spans="1:257" ht="27.75" customHeight="1">
      <c r="A6" s="65" t="s">
        <v>119</v>
      </c>
      <c r="B6" s="65" t="s">
        <v>120</v>
      </c>
      <c r="C6" s="69"/>
      <c r="D6" s="66">
        <v>150000</v>
      </c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/>
      <c r="IV6"/>
      <c r="IW6"/>
    </row>
    <row r="7" spans="1:257" ht="44.25" customHeight="1">
      <c r="A7" s="65" t="s">
        <v>122</v>
      </c>
      <c r="B7" s="65" t="s">
        <v>141</v>
      </c>
      <c r="C7" s="69" t="s">
        <v>144</v>
      </c>
      <c r="D7" s="152">
        <f>78*1400*4</f>
        <v>436800</v>
      </c>
      <c r="E7" s="91" t="s">
        <v>143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/>
      <c r="IV7"/>
      <c r="IW7"/>
    </row>
    <row r="8" spans="1:257" ht="38.25" customHeight="1">
      <c r="A8" s="65" t="s">
        <v>123</v>
      </c>
      <c r="B8" s="65" t="s">
        <v>124</v>
      </c>
      <c r="C8" s="69" t="s">
        <v>125</v>
      </c>
      <c r="D8" s="66">
        <f>2900*68</f>
        <v>197200</v>
      </c>
      <c r="E8" s="91" t="s">
        <v>140</v>
      </c>
      <c r="F8" s="3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/>
      <c r="IV8"/>
      <c r="IW8"/>
    </row>
    <row r="9" spans="1:257" ht="30" customHeight="1">
      <c r="A9" s="65" t="s">
        <v>135</v>
      </c>
      <c r="B9" s="65" t="s">
        <v>129</v>
      </c>
      <c r="C9" s="69" t="s">
        <v>356</v>
      </c>
      <c r="D9" s="66">
        <v>30000</v>
      </c>
      <c r="E9" s="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/>
      <c r="IV9"/>
      <c r="IW9"/>
    </row>
    <row r="10" spans="1:257" ht="28.5" customHeight="1">
      <c r="A10" s="65" t="s">
        <v>136</v>
      </c>
      <c r="B10" s="65" t="s">
        <v>129</v>
      </c>
      <c r="C10" s="69" t="s">
        <v>356</v>
      </c>
      <c r="D10" s="66">
        <v>48000</v>
      </c>
      <c r="E10" s="7"/>
      <c r="F10" s="5"/>
      <c r="IU10"/>
      <c r="IV10"/>
      <c r="IW10"/>
    </row>
    <row r="11" spans="1:257" s="32" customFormat="1" ht="51" customHeight="1">
      <c r="A11" s="65" t="s">
        <v>137</v>
      </c>
      <c r="B11" s="65" t="s">
        <v>128</v>
      </c>
      <c r="C11" s="69" t="s">
        <v>356</v>
      </c>
      <c r="D11" s="66">
        <v>250000</v>
      </c>
      <c r="E11" s="7"/>
      <c r="F11" s="34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1:257" ht="22.35" customHeight="1">
      <c r="A12" s="65" t="s">
        <v>131</v>
      </c>
      <c r="B12" s="65" t="s">
        <v>129</v>
      </c>
      <c r="C12" s="69" t="s">
        <v>356</v>
      </c>
      <c r="D12" s="66">
        <v>120000</v>
      </c>
      <c r="IU12"/>
      <c r="IV12"/>
      <c r="IW12"/>
    </row>
    <row r="13" spans="1:257" ht="22.5" customHeight="1">
      <c r="A13" s="65" t="s">
        <v>126</v>
      </c>
      <c r="B13" s="65" t="s">
        <v>139</v>
      </c>
      <c r="C13" s="69" t="s">
        <v>356</v>
      </c>
      <c r="D13" s="66">
        <v>20000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/>
      <c r="IV13"/>
      <c r="IW13"/>
    </row>
    <row r="14" spans="1:257" ht="30" customHeight="1">
      <c r="A14" s="65" t="s">
        <v>133</v>
      </c>
      <c r="B14" s="65" t="s">
        <v>139</v>
      </c>
      <c r="C14" s="69" t="s">
        <v>356</v>
      </c>
      <c r="D14" s="66">
        <v>10000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/>
      <c r="IV14"/>
      <c r="IW14"/>
    </row>
    <row r="15" spans="1:257" ht="33.75" customHeight="1">
      <c r="A15" s="65" t="s">
        <v>132</v>
      </c>
      <c r="B15" s="65" t="s">
        <v>139</v>
      </c>
      <c r="C15" s="69" t="s">
        <v>356</v>
      </c>
      <c r="D15" s="66">
        <v>90000</v>
      </c>
      <c r="IU15"/>
      <c r="IV15"/>
      <c r="IW15"/>
    </row>
    <row r="16" spans="1:257" ht="35.25" customHeight="1">
      <c r="A16" s="65" t="s">
        <v>316</v>
      </c>
      <c r="B16" s="65" t="s">
        <v>317</v>
      </c>
      <c r="C16" s="93" t="s">
        <v>319</v>
      </c>
      <c r="D16" s="66">
        <f>15*78*115</f>
        <v>134550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/>
      <c r="IV16"/>
      <c r="IW16"/>
    </row>
    <row r="17" spans="1:257" ht="25.5">
      <c r="A17" s="65" t="s">
        <v>127</v>
      </c>
      <c r="B17" s="65" t="s">
        <v>367</v>
      </c>
      <c r="C17" s="69" t="s">
        <v>356</v>
      </c>
      <c r="D17" s="66">
        <v>150000</v>
      </c>
      <c r="E17" s="7" t="s">
        <v>138</v>
      </c>
      <c r="F17" s="5"/>
      <c r="IU17"/>
      <c r="IV17"/>
      <c r="IW17"/>
    </row>
    <row r="18" spans="1:257" ht="38.25">
      <c r="A18" s="65" t="s">
        <v>130</v>
      </c>
      <c r="B18" s="65" t="s">
        <v>129</v>
      </c>
      <c r="C18" s="69" t="s">
        <v>356</v>
      </c>
      <c r="D18" s="66">
        <v>160000</v>
      </c>
      <c r="IU18"/>
      <c r="IV18"/>
      <c r="IW18"/>
    </row>
    <row r="19" spans="1:257" ht="32.25" customHeight="1">
      <c r="A19" s="65" t="s">
        <v>134</v>
      </c>
      <c r="B19" s="65" t="s">
        <v>129</v>
      </c>
      <c r="C19" s="69" t="s">
        <v>356</v>
      </c>
      <c r="D19" s="66">
        <v>170000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/>
      <c r="IV19"/>
      <c r="IW19"/>
    </row>
    <row r="20" spans="1:257" ht="39" customHeight="1">
      <c r="A20" s="65" t="s">
        <v>142</v>
      </c>
      <c r="B20" s="65" t="s">
        <v>400</v>
      </c>
      <c r="C20" s="69" t="s">
        <v>368</v>
      </c>
      <c r="D20" s="152">
        <f>99400*2</f>
        <v>198800</v>
      </c>
      <c r="E20" s="91" t="s">
        <v>145</v>
      </c>
      <c r="IU20"/>
      <c r="IV20"/>
      <c r="IW20"/>
    </row>
    <row r="21" spans="1:257" ht="22.35" customHeight="1">
      <c r="A21" s="131" t="s">
        <v>307</v>
      </c>
      <c r="B21" s="132"/>
      <c r="C21" s="133"/>
      <c r="D21" s="82">
        <f>SUM(D3:D20)</f>
        <v>3910350</v>
      </c>
      <c r="E21" s="5"/>
      <c r="IU21"/>
      <c r="IV21"/>
      <c r="IW21"/>
    </row>
    <row r="22" spans="1:257" ht="22.35" customHeight="1">
      <c r="IU22"/>
      <c r="IV22"/>
      <c r="IW22"/>
    </row>
    <row r="23" spans="1:257" ht="22.35" customHeight="1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/>
      <c r="IV23"/>
      <c r="IW23"/>
    </row>
    <row r="24" spans="1:257" ht="21.75" customHeight="1">
      <c r="IU24"/>
      <c r="IV24"/>
      <c r="IW24"/>
    </row>
    <row r="25" spans="1:257" ht="21.75" customHeight="1">
      <c r="IU25"/>
      <c r="IV25"/>
      <c r="IW25"/>
    </row>
    <row r="26" spans="1:257" ht="21.75" customHeight="1">
      <c r="IU26"/>
      <c r="IV26"/>
      <c r="IW26"/>
    </row>
    <row r="27" spans="1:257" ht="21.75" customHeight="1">
      <c r="IU27"/>
      <c r="IV27"/>
      <c r="IW27"/>
    </row>
    <row r="28" spans="1:257" ht="21.75" customHeight="1">
      <c r="IU28"/>
      <c r="IV28"/>
      <c r="IW28"/>
    </row>
    <row r="29" spans="1:257" ht="21.75" customHeight="1">
      <c r="IU29"/>
      <c r="IV29"/>
      <c r="IW29"/>
    </row>
  </sheetData>
  <mergeCells count="2">
    <mergeCell ref="A1:D1"/>
    <mergeCell ref="A21:C21"/>
  </mergeCells>
  <hyperlinks>
    <hyperlink ref="E17" r:id="rId1"/>
    <hyperlink ref="E20" r:id="rId2"/>
    <hyperlink ref="E7" r:id="rId3"/>
    <hyperlink ref="E8" r:id="rId4"/>
  </hyperlinks>
  <pageMargins left="0.74803149606299213" right="0.74803149606299213" top="0.23622047244094491" bottom="0.51181102362204722" header="0.23622047244094491" footer="0.23622047244094491"/>
  <pageSetup paperSize="9" scale="81" orientation="portrait" r:id="rId5"/>
  <headerFooter>
    <oddFooter>&amp;C&amp;"Avenir Next,Regular"&amp;10&amp;K000000&amp;P</oddFooter>
  </headerFooter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2"/>
  <sheetViews>
    <sheetView showGridLines="0" view="pageBreakPreview" zoomScale="90" zoomScaleSheetLayoutView="90" workbookViewId="0">
      <pane ySplit="2" topLeftCell="A3" activePane="bottomLeft" state="frozen"/>
      <selection pane="bottomLeft" activeCell="G7" sqref="G7"/>
    </sheetView>
  </sheetViews>
  <sheetFormatPr defaultColWidth="20.42578125" defaultRowHeight="21.75" customHeight="1"/>
  <cols>
    <col min="1" max="2" width="20.42578125" style="13" customWidth="1"/>
    <col min="3" max="4" width="21.140625" style="13" customWidth="1"/>
    <col min="5" max="6" width="21.140625" style="4" customWidth="1"/>
    <col min="7" max="257" width="20.42578125" style="4" customWidth="1"/>
  </cols>
  <sheetData>
    <row r="1" spans="1:257" ht="30" customHeight="1">
      <c r="A1" s="124" t="s">
        <v>146</v>
      </c>
      <c r="B1" s="124"/>
      <c r="C1" s="124"/>
      <c r="D1" s="124"/>
      <c r="E1" s="6"/>
      <c r="F1" s="6"/>
    </row>
    <row r="2" spans="1:257" ht="23.85" customHeight="1">
      <c r="A2" s="85" t="s">
        <v>1</v>
      </c>
      <c r="B2" s="85" t="s">
        <v>5</v>
      </c>
      <c r="C2" s="85" t="s">
        <v>2</v>
      </c>
      <c r="D2" s="85" t="s">
        <v>294</v>
      </c>
      <c r="IV2"/>
      <c r="IW2"/>
    </row>
    <row r="3" spans="1:257" ht="42.75" customHeight="1">
      <c r="A3" s="65" t="s">
        <v>149</v>
      </c>
      <c r="B3" s="65"/>
      <c r="C3" s="69" t="s">
        <v>147</v>
      </c>
      <c r="D3" s="66">
        <f>8000*5.5</f>
        <v>44000</v>
      </c>
      <c r="E3" s="7" t="s">
        <v>150</v>
      </c>
      <c r="F3" s="7"/>
      <c r="IV3"/>
      <c r="IW3"/>
    </row>
    <row r="4" spans="1:257" ht="39.75" customHeight="1">
      <c r="A4" s="65" t="s">
        <v>8</v>
      </c>
      <c r="B4" s="65" t="s">
        <v>9</v>
      </c>
      <c r="C4" s="108" t="s">
        <v>148</v>
      </c>
      <c r="D4" s="110">
        <v>0</v>
      </c>
      <c r="IV4"/>
      <c r="IW4"/>
    </row>
    <row r="5" spans="1:257" ht="56.25" customHeight="1">
      <c r="A5" s="65" t="s">
        <v>152</v>
      </c>
      <c r="B5" s="65" t="s">
        <v>57</v>
      </c>
      <c r="C5" s="69" t="s">
        <v>153</v>
      </c>
      <c r="D5" s="151">
        <v>230000</v>
      </c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/>
      <c r="IW5"/>
    </row>
    <row r="6" spans="1:257" ht="30" customHeight="1">
      <c r="A6" s="65" t="s">
        <v>154</v>
      </c>
      <c r="B6" s="65" t="s">
        <v>363</v>
      </c>
      <c r="C6" s="67" t="s">
        <v>356</v>
      </c>
      <c r="D6" s="67">
        <v>17000</v>
      </c>
      <c r="IV6"/>
      <c r="IW6"/>
    </row>
    <row r="7" spans="1:257" ht="35.25" customHeight="1">
      <c r="A7" s="65" t="s">
        <v>155</v>
      </c>
      <c r="B7" s="65" t="s">
        <v>363</v>
      </c>
      <c r="C7" s="67" t="s">
        <v>356</v>
      </c>
      <c r="D7" s="67">
        <v>13000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/>
      <c r="IW7"/>
    </row>
    <row r="8" spans="1:257" ht="40.5" customHeight="1">
      <c r="A8" s="65" t="s">
        <v>156</v>
      </c>
      <c r="B8" s="65" t="s">
        <v>363</v>
      </c>
      <c r="C8" s="67" t="s">
        <v>356</v>
      </c>
      <c r="D8" s="67">
        <v>25000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/>
      <c r="IW8"/>
    </row>
    <row r="9" spans="1:257" ht="26.25" customHeight="1">
      <c r="A9" s="134" t="s">
        <v>299</v>
      </c>
      <c r="B9" s="135"/>
      <c r="C9" s="136"/>
      <c r="D9" s="92">
        <f>SUM(D3:D8)</f>
        <v>329000</v>
      </c>
      <c r="E9" s="7"/>
      <c r="IV9"/>
      <c r="IW9"/>
    </row>
    <row r="10" spans="1:257" s="32" customFormat="1" ht="31.5" customHeight="1">
      <c r="A10" s="13"/>
      <c r="B10" s="13"/>
      <c r="C10" s="13"/>
      <c r="D10" s="1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7" s="32" customFormat="1" ht="31.5" customHeight="1">
      <c r="A11" s="13"/>
      <c r="B11" s="13"/>
      <c r="C11" s="13"/>
      <c r="D11" s="13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7" s="32" customFormat="1" ht="31.5" customHeight="1">
      <c r="A12" s="13"/>
      <c r="B12" s="13"/>
      <c r="C12" s="13"/>
      <c r="D12" s="13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7" ht="22.3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/>
      <c r="IW13"/>
    </row>
    <row r="14" spans="1:257" ht="27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/>
      <c r="IW14"/>
    </row>
    <row r="15" spans="1:257" ht="22.35" customHeight="1">
      <c r="IV15"/>
      <c r="IW15"/>
    </row>
    <row r="16" spans="1:257" ht="22.35" customHeight="1">
      <c r="IV16"/>
      <c r="IW16"/>
    </row>
    <row r="17" spans="256:257" ht="22.35" customHeight="1">
      <c r="IV17"/>
      <c r="IW17"/>
    </row>
    <row r="18" spans="256:257" ht="22.35" customHeight="1">
      <c r="IV18"/>
      <c r="IW18"/>
    </row>
    <row r="19" spans="256:257" ht="21.75" customHeight="1">
      <c r="IV19"/>
      <c r="IW19"/>
    </row>
    <row r="20" spans="256:257" ht="22.35" customHeight="1">
      <c r="IV20"/>
      <c r="IW20"/>
    </row>
    <row r="21" spans="256:257" ht="21.75" customHeight="1">
      <c r="IV21"/>
      <c r="IW21"/>
    </row>
    <row r="22" spans="256:257" ht="21.75" customHeight="1">
      <c r="IV22"/>
      <c r="IW22"/>
    </row>
  </sheetData>
  <mergeCells count="2">
    <mergeCell ref="A1:D1"/>
    <mergeCell ref="A9:C9"/>
  </mergeCells>
  <hyperlinks>
    <hyperlink ref="E3" r:id="rId1"/>
  </hyperlinks>
  <pageMargins left="0.98425196850393704" right="0.98425196850393704" top="0.98425196850393704" bottom="0.98425196850393704" header="0.23622047244094491" footer="0.23622047244094491"/>
  <pageSetup paperSize="9" scale="98" orientation="portrait" r:id="rId2"/>
  <headerFooter>
    <oddFooter>&amp;C&amp;"Avenir Next,Regular"&amp;10&amp;K000000&amp;P</oddFooter>
  </headerFooter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view="pageBreakPreview" zoomScale="90" zoomScaleSheetLayoutView="90" workbookViewId="0">
      <pane ySplit="2" topLeftCell="A3" activePane="bottomLeft" state="frozen"/>
      <selection pane="bottomLeft" activeCell="D3" sqref="D3"/>
    </sheetView>
  </sheetViews>
  <sheetFormatPr defaultColWidth="20.42578125" defaultRowHeight="21.75" customHeight="1"/>
  <cols>
    <col min="1" max="2" width="20.42578125" style="13" customWidth="1"/>
    <col min="3" max="3" width="21.140625" style="23" customWidth="1"/>
    <col min="4" max="4" width="21.140625" style="13" customWidth="1"/>
    <col min="5" max="5" width="38.7109375" style="75" customWidth="1"/>
    <col min="6" max="6" width="21.140625" style="13" customWidth="1"/>
    <col min="7" max="256" width="20.42578125" style="13" customWidth="1"/>
    <col min="257" max="16384" width="20.42578125" style="14"/>
  </cols>
  <sheetData>
    <row r="1" spans="1:256" ht="30" customHeight="1">
      <c r="A1" s="120" t="s">
        <v>12</v>
      </c>
      <c r="B1" s="120"/>
      <c r="C1" s="120"/>
      <c r="D1" s="120"/>
      <c r="E1" s="74"/>
      <c r="F1" s="12"/>
    </row>
    <row r="2" spans="1:256" ht="23.85" customHeight="1">
      <c r="A2" s="15" t="s">
        <v>1</v>
      </c>
      <c r="B2" s="15" t="s">
        <v>5</v>
      </c>
      <c r="C2" s="10" t="s">
        <v>2</v>
      </c>
      <c r="D2" s="15"/>
      <c r="IU2" s="14"/>
      <c r="IV2" s="14"/>
    </row>
    <row r="3" spans="1:256" ht="48" customHeight="1">
      <c r="A3" s="65" t="s">
        <v>157</v>
      </c>
      <c r="B3" s="65" t="s">
        <v>158</v>
      </c>
      <c r="C3" s="69" t="s">
        <v>301</v>
      </c>
      <c r="D3" s="111">
        <f>666000+15000</f>
        <v>681000</v>
      </c>
      <c r="E3" s="76"/>
      <c r="IU3" s="14"/>
      <c r="IV3" s="14"/>
    </row>
    <row r="4" spans="1:256" ht="39.75" customHeight="1">
      <c r="A4" s="65" t="s">
        <v>303</v>
      </c>
      <c r="B4" s="65" t="s">
        <v>83</v>
      </c>
      <c r="C4" s="69" t="s">
        <v>304</v>
      </c>
      <c r="D4" s="111">
        <v>300000</v>
      </c>
      <c r="IU4" s="14"/>
      <c r="IV4" s="14"/>
    </row>
    <row r="5" spans="1:256" ht="42.75" customHeight="1">
      <c r="A5" s="65" t="s">
        <v>305</v>
      </c>
      <c r="B5" s="65" t="s">
        <v>369</v>
      </c>
      <c r="C5" s="69" t="s">
        <v>306</v>
      </c>
      <c r="D5" s="111">
        <v>200000</v>
      </c>
      <c r="E5" s="76"/>
      <c r="IU5" s="14"/>
      <c r="IV5" s="14"/>
    </row>
    <row r="6" spans="1:256" ht="56.25" customHeight="1">
      <c r="A6" s="65" t="s">
        <v>308</v>
      </c>
      <c r="B6" s="65" t="s">
        <v>363</v>
      </c>
      <c r="C6" s="69" t="s">
        <v>53</v>
      </c>
      <c r="D6" s="111">
        <v>160000</v>
      </c>
      <c r="E6" s="76"/>
      <c r="IU6" s="14"/>
      <c r="IV6" s="14"/>
    </row>
    <row r="7" spans="1:256" s="29" customFormat="1" ht="51">
      <c r="A7" s="65" t="s">
        <v>159</v>
      </c>
      <c r="B7" s="65" t="s">
        <v>369</v>
      </c>
      <c r="C7" s="69" t="s">
        <v>292</v>
      </c>
      <c r="D7" s="111">
        <v>220000</v>
      </c>
      <c r="E7" s="75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</row>
    <row r="8" spans="1:256" s="29" customFormat="1" ht="35.25" customHeight="1">
      <c r="A8" s="65" t="s">
        <v>160</v>
      </c>
      <c r="B8" s="65" t="s">
        <v>161</v>
      </c>
      <c r="C8" s="69" t="s">
        <v>291</v>
      </c>
      <c r="D8" s="111">
        <v>23000</v>
      </c>
      <c r="E8" s="7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</row>
    <row r="9" spans="1:256" ht="42" customHeight="1">
      <c r="A9" s="65" t="s">
        <v>6</v>
      </c>
      <c r="B9" s="65" t="s">
        <v>9</v>
      </c>
      <c r="C9" s="108" t="s">
        <v>283</v>
      </c>
      <c r="D9" s="108">
        <v>0</v>
      </c>
      <c r="IU9" s="14"/>
      <c r="IV9" s="14"/>
    </row>
    <row r="10" spans="1:256" ht="27.75" customHeight="1">
      <c r="A10" s="65" t="s">
        <v>162</v>
      </c>
      <c r="B10" s="65" t="s">
        <v>370</v>
      </c>
      <c r="C10" s="69" t="s">
        <v>74</v>
      </c>
      <c r="D10" s="153">
        <f>6000*78</f>
        <v>468000</v>
      </c>
      <c r="E10" s="76" t="s">
        <v>288</v>
      </c>
      <c r="F10" s="13" t="s">
        <v>318</v>
      </c>
      <c r="IU10" s="14"/>
      <c r="IV10" s="14"/>
    </row>
    <row r="11" spans="1:256" ht="26.25" customHeight="1">
      <c r="A11" s="65" t="s">
        <v>163</v>
      </c>
      <c r="B11" s="65" t="s">
        <v>363</v>
      </c>
      <c r="C11" s="69" t="s">
        <v>74</v>
      </c>
      <c r="D11" s="111">
        <v>40000</v>
      </c>
      <c r="E11" s="76"/>
      <c r="IU11" s="14"/>
      <c r="IV11" s="14"/>
    </row>
    <row r="12" spans="1:256" ht="42.75" customHeight="1">
      <c r="A12" s="65" t="s">
        <v>165</v>
      </c>
      <c r="B12" s="65" t="s">
        <v>372</v>
      </c>
      <c r="C12" s="69" t="s">
        <v>74</v>
      </c>
      <c r="D12" s="111">
        <v>230000</v>
      </c>
      <c r="E12" s="18" t="s">
        <v>290</v>
      </c>
      <c r="IU12" s="14"/>
      <c r="IV12" s="14"/>
    </row>
    <row r="13" spans="1:256" ht="28.5" customHeight="1">
      <c r="A13" s="65" t="s">
        <v>164</v>
      </c>
      <c r="B13" s="65" t="s">
        <v>371</v>
      </c>
      <c r="C13" s="69" t="s">
        <v>74</v>
      </c>
      <c r="D13" s="153">
        <v>360000</v>
      </c>
      <c r="E13" s="76" t="s">
        <v>287</v>
      </c>
      <c r="IU13" s="14"/>
      <c r="IV13" s="14"/>
    </row>
    <row r="14" spans="1:256" ht="25.5">
      <c r="A14" s="65" t="s">
        <v>166</v>
      </c>
      <c r="B14" s="65" t="s">
        <v>370</v>
      </c>
      <c r="C14" s="69" t="s">
        <v>66</v>
      </c>
      <c r="D14" s="153">
        <v>100000</v>
      </c>
      <c r="E14" s="76" t="s">
        <v>289</v>
      </c>
      <c r="IU14" s="14"/>
      <c r="IV14" s="14"/>
    </row>
    <row r="15" spans="1:256" ht="38.25">
      <c r="A15" s="65" t="s">
        <v>167</v>
      </c>
      <c r="B15" s="65" t="s">
        <v>345</v>
      </c>
      <c r="C15" s="69" t="s">
        <v>356</v>
      </c>
      <c r="D15" s="111">
        <f>2590*66</f>
        <v>170940</v>
      </c>
      <c r="E15" s="76" t="s">
        <v>286</v>
      </c>
      <c r="F15" s="13" t="s">
        <v>318</v>
      </c>
      <c r="IU15" s="14"/>
      <c r="IV15" s="14"/>
    </row>
    <row r="16" spans="1:256" ht="27.75" customHeight="1">
      <c r="A16" s="65" t="s">
        <v>168</v>
      </c>
      <c r="B16" s="65" t="s">
        <v>373</v>
      </c>
      <c r="C16" s="69" t="s">
        <v>74</v>
      </c>
      <c r="D16" s="111">
        <v>150000</v>
      </c>
      <c r="E16" s="76"/>
      <c r="IU16" s="14"/>
      <c r="IV16" s="14"/>
    </row>
    <row r="17" spans="1:256" ht="22.35" customHeight="1">
      <c r="A17" s="65" t="s">
        <v>169</v>
      </c>
      <c r="B17" s="65" t="s">
        <v>363</v>
      </c>
      <c r="C17" s="69" t="s">
        <v>74</v>
      </c>
      <c r="D17" s="111">
        <v>30000</v>
      </c>
      <c r="E17" s="76"/>
      <c r="IU17" s="14"/>
      <c r="IV17" s="14"/>
    </row>
    <row r="18" spans="1:256" ht="42" customHeight="1">
      <c r="A18" s="65" t="s">
        <v>284</v>
      </c>
      <c r="B18" s="65" t="s">
        <v>374</v>
      </c>
      <c r="C18" s="69" t="s">
        <v>300</v>
      </c>
      <c r="D18" s="111">
        <v>300000</v>
      </c>
      <c r="E18" s="76" t="s">
        <v>285</v>
      </c>
      <c r="IU18" s="14"/>
      <c r="IV18" s="14"/>
    </row>
    <row r="19" spans="1:256" ht="22.35" customHeight="1">
      <c r="C19" s="68" t="s">
        <v>299</v>
      </c>
      <c r="D19" s="71">
        <f>SUM(D3:D18)</f>
        <v>3432940</v>
      </c>
      <c r="E19" s="76"/>
      <c r="IU19" s="14"/>
      <c r="IV19" s="14"/>
    </row>
    <row r="20" spans="1:256" ht="22.35" customHeight="1">
      <c r="IU20" s="14"/>
      <c r="IV20" s="14"/>
    </row>
    <row r="21" spans="1:256" ht="22.35" customHeight="1">
      <c r="IU21" s="14"/>
      <c r="IV21" s="14"/>
    </row>
    <row r="22" spans="1:256" ht="22.35" customHeight="1">
      <c r="IU22" s="14"/>
      <c r="IV22" s="14"/>
    </row>
    <row r="23" spans="1:256" ht="22.35" customHeight="1">
      <c r="IU23" s="14"/>
      <c r="IV23" s="14"/>
    </row>
    <row r="25" spans="1:256" ht="22.35" customHeight="1"/>
  </sheetData>
  <mergeCells count="1">
    <mergeCell ref="A1:D1"/>
  </mergeCells>
  <hyperlinks>
    <hyperlink ref="E18" r:id="rId1"/>
    <hyperlink ref="E13" r:id="rId2"/>
    <hyperlink ref="E10" r:id="rId3"/>
    <hyperlink ref="E14" r:id="rId4"/>
    <hyperlink ref="E15" r:id="rId5"/>
    <hyperlink ref="E12" r:id="rId6" location="prettyPhoto"/>
  </hyperlinks>
  <pageMargins left="0.98425196850393704" right="0.98425196850393704" top="0.98425196850393704" bottom="0.98425196850393704" header="0.23622047244094491" footer="0.23622047244094491"/>
  <pageSetup paperSize="9" scale="94" orientation="portrait" r:id="rId7"/>
  <headerFooter>
    <oddFooter>&amp;C&amp;"Avenir Next,Regular"&amp;10&amp;K000000&amp;P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1"/>
  <sheetViews>
    <sheetView showGridLines="0" view="pageBreakPreview" zoomScale="90" zoomScaleSheetLayoutView="90" workbookViewId="0">
      <pane ySplit="2" topLeftCell="A3" activePane="bottomLeft" state="frozen"/>
      <selection pane="bottomLeft" activeCell="E4" sqref="E4"/>
    </sheetView>
  </sheetViews>
  <sheetFormatPr defaultColWidth="20.42578125" defaultRowHeight="21.75" customHeight="1"/>
  <cols>
    <col min="1" max="2" width="20.42578125" style="13" customWidth="1"/>
    <col min="3" max="4" width="21.140625" style="13" customWidth="1"/>
    <col min="5" max="5" width="89.5703125" style="95" customWidth="1"/>
    <col min="6" max="6" width="21.140625" style="13" customWidth="1"/>
    <col min="7" max="257" width="20.42578125" style="13" customWidth="1"/>
    <col min="258" max="16384" width="20.42578125" style="14"/>
  </cols>
  <sheetData>
    <row r="1" spans="1:257" ht="30" customHeight="1">
      <c r="A1" s="120" t="s">
        <v>7</v>
      </c>
      <c r="B1" s="120"/>
      <c r="C1" s="120"/>
      <c r="D1" s="120"/>
      <c r="E1" s="94"/>
      <c r="F1" s="12"/>
    </row>
    <row r="2" spans="1:257" ht="23.85" customHeight="1">
      <c r="A2" s="15" t="s">
        <v>1</v>
      </c>
      <c r="B2" s="15" t="s">
        <v>5</v>
      </c>
      <c r="C2" s="15" t="s">
        <v>2</v>
      </c>
      <c r="D2" s="15" t="s">
        <v>294</v>
      </c>
      <c r="IV2" s="14"/>
      <c r="IW2" s="14"/>
    </row>
    <row r="3" spans="1:257" ht="36.75" customHeight="1">
      <c r="A3" s="103" t="s">
        <v>170</v>
      </c>
      <c r="B3" s="104" t="s">
        <v>322</v>
      </c>
      <c r="C3" s="116" t="s">
        <v>321</v>
      </c>
      <c r="D3" s="107">
        <f>159*78</f>
        <v>12402</v>
      </c>
      <c r="E3" s="96" t="s">
        <v>277</v>
      </c>
      <c r="IV3" s="14"/>
      <c r="IW3" s="14"/>
    </row>
    <row r="4" spans="1:257" ht="30" customHeight="1">
      <c r="A4" s="103" t="s">
        <v>171</v>
      </c>
      <c r="B4" s="103"/>
      <c r="C4" s="116" t="s">
        <v>395</v>
      </c>
      <c r="D4" s="107">
        <f>4120*8.4</f>
        <v>34608</v>
      </c>
      <c r="E4" s="38" t="s">
        <v>275</v>
      </c>
      <c r="IV4" s="14"/>
      <c r="IW4" s="14"/>
    </row>
    <row r="5" spans="1:257" ht="31.5" customHeight="1">
      <c r="A5" s="103" t="s">
        <v>172</v>
      </c>
      <c r="B5" s="103"/>
      <c r="C5" s="116" t="s">
        <v>396</v>
      </c>
      <c r="D5" s="107">
        <f>8500*14.92</f>
        <v>126820</v>
      </c>
      <c r="E5" s="96" t="s">
        <v>276</v>
      </c>
      <c r="IV5" s="14"/>
      <c r="IW5" s="14"/>
    </row>
    <row r="6" spans="1:257" ht="30" customHeight="1">
      <c r="A6" s="103" t="s">
        <v>173</v>
      </c>
      <c r="B6" s="103" t="s">
        <v>343</v>
      </c>
      <c r="C6" s="106" t="s">
        <v>344</v>
      </c>
      <c r="D6" s="107">
        <f>1*14000</f>
        <v>14000</v>
      </c>
      <c r="E6" s="97">
        <f>28000*10</f>
        <v>280000</v>
      </c>
      <c r="F6" s="36"/>
      <c r="IV6" s="14"/>
      <c r="IW6" s="14"/>
    </row>
    <row r="7" spans="1:257" s="29" customFormat="1" ht="33" customHeight="1">
      <c r="A7" s="103" t="s">
        <v>174</v>
      </c>
      <c r="B7" s="103"/>
      <c r="C7" s="116" t="s">
        <v>389</v>
      </c>
      <c r="D7" s="152">
        <f>5.9*25000</f>
        <v>147500</v>
      </c>
      <c r="E7" s="96" t="s">
        <v>298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7" ht="40.5" customHeight="1">
      <c r="A8" s="103" t="s">
        <v>184</v>
      </c>
      <c r="B8" s="103" t="s">
        <v>271</v>
      </c>
      <c r="C8" s="106">
        <v>1</v>
      </c>
      <c r="D8" s="152">
        <f>78*7315</f>
        <v>570570</v>
      </c>
      <c r="E8" s="97"/>
      <c r="F8" s="36"/>
      <c r="IV8" s="14"/>
      <c r="IW8" s="14"/>
    </row>
    <row r="9" spans="1:257" ht="34.5" customHeight="1">
      <c r="A9" s="103" t="s">
        <v>175</v>
      </c>
      <c r="B9" s="103" t="s">
        <v>272</v>
      </c>
      <c r="C9" s="106">
        <v>1</v>
      </c>
      <c r="D9" s="107">
        <v>20000</v>
      </c>
      <c r="E9" s="97"/>
      <c r="IV9" s="14"/>
      <c r="IW9" s="14"/>
    </row>
    <row r="10" spans="1:257" ht="24.75" customHeight="1">
      <c r="A10" s="103" t="s">
        <v>176</v>
      </c>
      <c r="B10" s="103" t="s">
        <v>272</v>
      </c>
      <c r="C10" s="106">
        <v>1</v>
      </c>
      <c r="D10" s="107">
        <v>30000</v>
      </c>
      <c r="IV10" s="14"/>
      <c r="IW10" s="14"/>
    </row>
    <row r="11" spans="1:257" ht="32.25" customHeight="1">
      <c r="A11" s="103" t="s">
        <v>11</v>
      </c>
      <c r="B11" s="103" t="s">
        <v>363</v>
      </c>
      <c r="C11" s="106">
        <v>1</v>
      </c>
      <c r="D11" s="107">
        <v>25000</v>
      </c>
      <c r="E11" s="97"/>
      <c r="F11" s="36"/>
      <c r="IV11" s="14"/>
      <c r="IW11" s="14"/>
    </row>
    <row r="12" spans="1:257" ht="34.5" customHeight="1">
      <c r="A12" s="103" t="s">
        <v>177</v>
      </c>
      <c r="B12" s="103" t="s">
        <v>273</v>
      </c>
      <c r="C12" s="106">
        <v>1</v>
      </c>
      <c r="D12" s="106">
        <v>60000</v>
      </c>
      <c r="E12" s="97"/>
      <c r="IV12" s="14"/>
      <c r="IW12" s="14"/>
    </row>
    <row r="13" spans="1:257" ht="51">
      <c r="A13" s="103" t="s">
        <v>279</v>
      </c>
      <c r="B13" s="103" t="s">
        <v>280</v>
      </c>
      <c r="C13" s="106">
        <v>1</v>
      </c>
      <c r="D13" s="154">
        <v>250000</v>
      </c>
      <c r="E13" s="18" t="s">
        <v>278</v>
      </c>
      <c r="IV13" s="14"/>
      <c r="IW13" s="14"/>
    </row>
    <row r="14" spans="1:257" ht="25.35" customHeight="1">
      <c r="A14" s="103" t="s">
        <v>178</v>
      </c>
      <c r="B14" s="103" t="s">
        <v>271</v>
      </c>
      <c r="C14" s="106">
        <v>1</v>
      </c>
      <c r="D14" s="154">
        <v>200000</v>
      </c>
      <c r="E14" s="97"/>
      <c r="IV14" s="14"/>
      <c r="IW14" s="14"/>
    </row>
    <row r="15" spans="1:257" ht="42.75" customHeight="1">
      <c r="A15" s="103" t="s">
        <v>179</v>
      </c>
      <c r="B15" s="103" t="s">
        <v>271</v>
      </c>
      <c r="C15" s="106">
        <v>1</v>
      </c>
      <c r="D15" s="106">
        <v>70000</v>
      </c>
      <c r="E15" s="97" t="s">
        <v>270</v>
      </c>
      <c r="IV15" s="14"/>
      <c r="IW15" s="14"/>
    </row>
    <row r="16" spans="1:257" ht="45" customHeight="1">
      <c r="A16" s="103" t="s">
        <v>180</v>
      </c>
      <c r="B16" s="103" t="s">
        <v>183</v>
      </c>
      <c r="C16" s="106" t="s">
        <v>182</v>
      </c>
      <c r="D16" s="106">
        <f>78*6*70</f>
        <v>32760</v>
      </c>
      <c r="E16" s="96" t="s">
        <v>77</v>
      </c>
      <c r="F16" s="36"/>
      <c r="IV16" s="14"/>
      <c r="IW16" s="14"/>
    </row>
    <row r="17" spans="1:257" ht="33.75">
      <c r="A17" s="103" t="s">
        <v>181</v>
      </c>
      <c r="B17" s="103" t="s">
        <v>375</v>
      </c>
      <c r="C17" s="106" t="s">
        <v>74</v>
      </c>
      <c r="D17" s="106">
        <v>60000</v>
      </c>
      <c r="E17" s="97" t="s">
        <v>281</v>
      </c>
      <c r="F17" s="36"/>
      <c r="IV17" s="14"/>
      <c r="IW17" s="14"/>
    </row>
    <row r="18" spans="1:257" ht="56.25" customHeight="1">
      <c r="A18" s="65" t="s">
        <v>185</v>
      </c>
      <c r="B18" s="65" t="s">
        <v>57</v>
      </c>
      <c r="C18" s="69" t="s">
        <v>341</v>
      </c>
      <c r="D18" s="93">
        <v>65000</v>
      </c>
      <c r="E18" s="97"/>
      <c r="IV18" s="14"/>
      <c r="IW18" s="14"/>
    </row>
    <row r="19" spans="1:257" ht="32.25" customHeight="1">
      <c r="A19" s="65" t="s">
        <v>248</v>
      </c>
      <c r="B19" s="65" t="s">
        <v>249</v>
      </c>
      <c r="C19" s="69" t="s">
        <v>342</v>
      </c>
      <c r="D19" s="69">
        <v>30000</v>
      </c>
      <c r="E19" s="97"/>
      <c r="F19" s="36"/>
      <c r="IV19" s="14"/>
      <c r="IW19" s="14"/>
    </row>
    <row r="20" spans="1:257" ht="52.5" customHeight="1">
      <c r="A20" s="65" t="s">
        <v>250</v>
      </c>
      <c r="B20" s="65" t="s">
        <v>274</v>
      </c>
      <c r="C20" s="69">
        <v>1</v>
      </c>
      <c r="D20" s="69">
        <v>15000</v>
      </c>
      <c r="E20" s="97"/>
    </row>
    <row r="21" spans="1:257" ht="21.75" customHeight="1">
      <c r="A21" s="26"/>
      <c r="B21" s="26"/>
      <c r="C21" s="98" t="s">
        <v>307</v>
      </c>
      <c r="D21" s="73">
        <f>SUM(D3:D20)</f>
        <v>1763660</v>
      </c>
    </row>
  </sheetData>
  <mergeCells count="1">
    <mergeCell ref="A1:D1"/>
  </mergeCells>
  <hyperlinks>
    <hyperlink ref="E16" r:id="rId1"/>
    <hyperlink ref="E15" r:id="rId2"/>
    <hyperlink ref="E7" r:id="rId3"/>
    <hyperlink ref="E4" r:id="rId4"/>
    <hyperlink ref="E5" r:id="rId5" display="http://atlastile.ru/product/atlas-concorde-nid-cashmere-tatami-22-5-90-matt/"/>
    <hyperlink ref="E3" r:id="rId6"/>
    <hyperlink ref="E13" r:id="rId7"/>
    <hyperlink ref="E17" r:id="rId8"/>
  </hyperlinks>
  <pageMargins left="0.98425196850393704" right="0.98425196850393704" top="0.98425196850393704" bottom="0.98425196850393704" header="0.23622047244094491" footer="0.23622047244094491"/>
  <pageSetup paperSize="9" scale="81" orientation="portrait" r:id="rId9"/>
  <headerFooter>
    <oddFooter>&amp;C&amp;"Avenir Next,Regular"&amp;10&amp;K000000&amp;P</oddFooter>
  </headerFooter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1"/>
  <sheetViews>
    <sheetView showGridLines="0" view="pageBreakPreview" zoomScaleSheetLayoutView="100" workbookViewId="0">
      <pane ySplit="2" topLeftCell="A3" activePane="bottomLeft" state="frozen"/>
      <selection pane="bottomLeft" activeCell="F4" sqref="F4"/>
    </sheetView>
  </sheetViews>
  <sheetFormatPr defaultColWidth="20.42578125" defaultRowHeight="21.75" customHeight="1"/>
  <cols>
    <col min="1" max="2" width="20.42578125" style="13" customWidth="1"/>
    <col min="3" max="3" width="30.140625" style="13" customWidth="1"/>
    <col min="4" max="4" width="21.140625" style="13" customWidth="1"/>
    <col min="5" max="5" width="27.140625" style="13" customWidth="1"/>
    <col min="6" max="6" width="21.140625" style="13" customWidth="1"/>
    <col min="7" max="257" width="20.42578125" style="13" customWidth="1"/>
    <col min="258" max="16384" width="20.42578125" style="14"/>
  </cols>
  <sheetData>
    <row r="1" spans="1:257" ht="30" customHeight="1">
      <c r="A1" s="124" t="s">
        <v>186</v>
      </c>
      <c r="B1" s="124"/>
      <c r="C1" s="124"/>
      <c r="D1" s="124"/>
      <c r="E1" s="12"/>
      <c r="F1" s="12"/>
    </row>
    <row r="2" spans="1:257" ht="23.85" customHeight="1">
      <c r="A2" s="85" t="s">
        <v>1</v>
      </c>
      <c r="B2" s="85" t="s">
        <v>5</v>
      </c>
      <c r="C2" s="85" t="s">
        <v>2</v>
      </c>
      <c r="D2" s="85"/>
      <c r="IV2" s="14"/>
      <c r="IW2" s="14"/>
    </row>
    <row r="3" spans="1:257" ht="45.75" customHeight="1">
      <c r="A3" s="65" t="s">
        <v>187</v>
      </c>
      <c r="B3" s="65" t="s">
        <v>381</v>
      </c>
      <c r="C3" s="67" t="s">
        <v>323</v>
      </c>
      <c r="D3" s="107">
        <v>450000</v>
      </c>
      <c r="IV3" s="14"/>
      <c r="IW3" s="14"/>
    </row>
    <row r="4" spans="1:257" ht="76.5">
      <c r="A4" s="65" t="s">
        <v>188</v>
      </c>
      <c r="B4" s="65" t="s">
        <v>189</v>
      </c>
      <c r="C4" s="67" t="s">
        <v>190</v>
      </c>
      <c r="D4" s="107">
        <v>150000</v>
      </c>
      <c r="IV4" s="14"/>
      <c r="IW4" s="14"/>
    </row>
    <row r="5" spans="1:257" ht="30" customHeight="1">
      <c r="A5" s="65" t="s">
        <v>191</v>
      </c>
      <c r="B5" s="65" t="s">
        <v>192</v>
      </c>
      <c r="C5" s="108" t="s">
        <v>193</v>
      </c>
      <c r="D5" s="110">
        <v>0</v>
      </c>
      <c r="E5" s="18"/>
      <c r="IV5" s="14"/>
      <c r="IW5" s="14"/>
    </row>
    <row r="6" spans="1:257" ht="42.75" customHeight="1">
      <c r="A6" s="137" t="s">
        <v>307</v>
      </c>
      <c r="B6" s="138"/>
      <c r="C6" s="139"/>
      <c r="D6" s="92">
        <f>SUM(D3:D5)</f>
        <v>600000</v>
      </c>
      <c r="E6" s="34"/>
      <c r="IV6" s="14"/>
      <c r="IW6" s="14"/>
    </row>
    <row r="7" spans="1:257" ht="24" customHeight="1">
      <c r="E7" s="18"/>
      <c r="IV7" s="14"/>
      <c r="IW7" s="14"/>
    </row>
    <row r="8" spans="1:257" ht="24.75" customHeight="1">
      <c r="IV8" s="14"/>
      <c r="IW8" s="14"/>
    </row>
    <row r="9" spans="1:257" ht="24.75" customHeight="1">
      <c r="IV9" s="14"/>
      <c r="IW9" s="14"/>
    </row>
    <row r="10" spans="1:257" ht="32.25" customHeight="1">
      <c r="IV10" s="14"/>
      <c r="IW10" s="14"/>
    </row>
    <row r="11" spans="1:257" ht="23.25" customHeight="1">
      <c r="IV11" s="14"/>
      <c r="IW11" s="14"/>
    </row>
    <row r="12" spans="1:257" ht="22.35" customHeight="1">
      <c r="IV12" s="14"/>
      <c r="IW12" s="14"/>
    </row>
    <row r="13" spans="1:257" ht="22.35" customHeight="1">
      <c r="IV13" s="14"/>
      <c r="IW13" s="14"/>
    </row>
    <row r="14" spans="1:257" ht="22.35" customHeight="1">
      <c r="IV14" s="14"/>
      <c r="IW14" s="14"/>
    </row>
    <row r="15" spans="1:257" ht="22.35" customHeight="1">
      <c r="IV15" s="14"/>
      <c r="IW15" s="14"/>
    </row>
    <row r="16" spans="1:257" ht="22.35" customHeight="1">
      <c r="IV16" s="14"/>
      <c r="IW16" s="14"/>
    </row>
    <row r="17" spans="256:257" ht="22.35" customHeight="1">
      <c r="IV17" s="14"/>
      <c r="IW17" s="14"/>
    </row>
    <row r="18" spans="256:257" ht="22.35" customHeight="1">
      <c r="IV18" s="14"/>
      <c r="IW18" s="14"/>
    </row>
    <row r="19" spans="256:257" ht="22.35" customHeight="1">
      <c r="IV19" s="14"/>
      <c r="IW19" s="14"/>
    </row>
    <row r="21" spans="256:257" ht="22.35" customHeight="1"/>
  </sheetData>
  <mergeCells count="2">
    <mergeCell ref="A1:D1"/>
    <mergeCell ref="A6:C6"/>
  </mergeCells>
  <pageMargins left="0.98425196850393704" right="0.98425196850393704" top="0.98425196850393704" bottom="0.98425196850393704" header="0.23622047244094491" footer="0.23622047244094491"/>
  <pageSetup paperSize="9" scale="89" orientation="portrait" r:id="rId1"/>
  <headerFooter>
    <oddFooter>&amp;C&amp;"Avenir Next,Regular"&amp;10&amp;K000000&amp;P</oddFooter>
  </headerFooter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Общий бюджет - Общий бюджет</vt:lpstr>
      <vt:lpstr>1.Прихожая</vt:lpstr>
      <vt:lpstr>2.Гостиная</vt:lpstr>
      <vt:lpstr>3.Хоз.блок</vt:lpstr>
      <vt:lpstr>4.Кухня</vt:lpstr>
      <vt:lpstr>5.Балкон1</vt:lpstr>
      <vt:lpstr>6.Кабинет</vt:lpstr>
      <vt:lpstr>7.Ванная комната</vt:lpstr>
      <vt:lpstr>8.Гардероб</vt:lpstr>
      <vt:lpstr>9.Спальня</vt:lpstr>
      <vt:lpstr>10.Детская</vt:lpstr>
      <vt:lpstr>11.Балкон2</vt:lpstr>
      <vt:lpstr>12.Детский су</vt:lpstr>
      <vt:lpstr>13.Коридор</vt:lpstr>
      <vt:lpstr>'1.Прихожая'!Область_печати</vt:lpstr>
      <vt:lpstr>'10.Детская'!Область_печати</vt:lpstr>
      <vt:lpstr>'11.Балкон2'!Область_печати</vt:lpstr>
      <vt:lpstr>'12.Детский су'!Область_печати</vt:lpstr>
      <vt:lpstr>'13.Коридор'!Область_печати</vt:lpstr>
      <vt:lpstr>'2.Гостиная'!Область_печати</vt:lpstr>
      <vt:lpstr>'3.Хоз.блок'!Область_печати</vt:lpstr>
      <vt:lpstr>'4.Кухня'!Область_печати</vt:lpstr>
      <vt:lpstr>'5.Балкон1'!Область_печати</vt:lpstr>
      <vt:lpstr>'6.Кабинет'!Область_печати</vt:lpstr>
      <vt:lpstr>'7.Ванная комната'!Область_печати</vt:lpstr>
      <vt:lpstr>'8.Гардероб'!Область_печати</vt:lpstr>
      <vt:lpstr>'9.Спальня'!Область_печати</vt:lpstr>
      <vt:lpstr>'Общий бюджет - Общий бюджет'!Область_печати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</dc:creator>
  <cp:lastModifiedBy>User</cp:lastModifiedBy>
  <cp:lastPrinted>2018-10-01T12:08:47Z</cp:lastPrinted>
  <dcterms:created xsi:type="dcterms:W3CDTF">2016-07-15T14:00:01Z</dcterms:created>
  <dcterms:modified xsi:type="dcterms:W3CDTF">2018-10-01T15:07:13Z</dcterms:modified>
</cp:coreProperties>
</file>